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BORDEAUX 2014" state="visible" r:id="rId3"/>
    <sheet sheetId="2" name="VOTE BORDEAUX 2014" state="visible" r:id="rId4"/>
    <sheet sheetId="3" name="POP BDX 2010" state="visible" r:id="rId5"/>
    <sheet sheetId="4" name="RESSEMBLANCE" state="visible" r:id="rId6"/>
  </sheets>
  <definedNames>
    <definedName hidden="1" name="_xlnm._FilterDatabase" localSheetId="0">'BORDEAUX 2014'!$H$1:$H$62</definedName>
  </definedNames>
  <calcPr/>
</workbook>
</file>

<file path=xl/sharedStrings.xml><?xml version="1.0" encoding="utf-8"?>
<sst xmlns="http://schemas.openxmlformats.org/spreadsheetml/2006/main">
  <si>
    <t>DPT</t>
  </si>
  <si>
    <t>CODCOM</t>
  </si>
  <si>
    <t>COMMUNE</t>
  </si>
  <si>
    <t>INDIV</t>
  </si>
  <si>
    <t>NOM</t>
  </si>
  <si>
    <t>PRENOM</t>
  </si>
  <si>
    <t>STATUT</t>
  </si>
  <si>
    <t>SEXE</t>
  </si>
  <si>
    <t>NAISS</t>
  </si>
  <si>
    <t>AGE</t>
  </si>
  <si>
    <t>LIB CSP</t>
  </si>
  <si>
    <t>CODE CSP</t>
  </si>
  <si>
    <t>NAT</t>
  </si>
  <si>
    <t>Bordeaux</t>
  </si>
  <si>
    <t>ACCOCEBERRY</t>
  </si>
  <si>
    <t>Guy</t>
  </si>
  <si>
    <t>M</t>
  </si>
  <si>
    <t>Pharmacien</t>
  </si>
  <si>
    <t>F</t>
  </si>
  <si>
    <t>SEXE</t>
  </si>
  <si>
    <t>AGE</t>
  </si>
  <si>
    <t>Code PCS</t>
  </si>
  <si>
    <t>PCS</t>
  </si>
  <si>
    <t>NATIONALITE</t>
  </si>
  <si>
    <t>Bordeaux</t>
  </si>
  <si>
    <t>AJON</t>
  </si>
  <si>
    <t>Emmanuelle</t>
  </si>
  <si>
    <t>F</t>
  </si>
  <si>
    <t>Autre cadre (secteur privé)</t>
  </si>
  <si>
    <t>F</t>
  </si>
  <si>
    <t>FEMMES</t>
  </si>
  <si>
    <t>DE 20 A 29 ANS</t>
  </si>
  <si>
    <t>Agriculteurs exploitants</t>
  </si>
  <si>
    <t>Française</t>
  </si>
  <si>
    <t>Bordeaux</t>
  </si>
  <si>
    <t>AOUIZERATE</t>
  </si>
  <si>
    <t>Erick</t>
  </si>
  <si>
    <t>M</t>
  </si>
  <si>
    <t>Médecin</t>
  </si>
  <si>
    <t>F</t>
  </si>
  <si>
    <t>HOMMES</t>
  </si>
  <si>
    <t>DE 30 A 44 ANS</t>
  </si>
  <si>
    <t>Artisans, commerçants et chefs d'entreprise</t>
  </si>
  <si>
    <t>Portugaise</t>
  </si>
  <si>
    <t>Bordeaux</t>
  </si>
  <si>
    <t>BERNARD</t>
  </si>
  <si>
    <t>Maribel</t>
  </si>
  <si>
    <t>F</t>
  </si>
  <si>
    <t>Sans profession déclarée</t>
  </si>
  <si>
    <t>F</t>
  </si>
  <si>
    <t>DE 45 A 59 ANS</t>
  </si>
  <si>
    <t>Cadres et professions intellectuelles supérieures</t>
  </si>
  <si>
    <t>Autres</t>
  </si>
  <si>
    <t>Bordeaux</t>
  </si>
  <si>
    <t>BOUILHET</t>
  </si>
  <si>
    <t>Catherine</t>
  </si>
  <si>
    <t>F</t>
  </si>
  <si>
    <t>Administrateur de sociétés</t>
  </si>
  <si>
    <t>F</t>
  </si>
  <si>
    <t>SEXE</t>
  </si>
  <si>
    <t>DE 60 A 74 ANS</t>
  </si>
  <si>
    <t>Professions intermédiaires</t>
  </si>
  <si>
    <t>Bordeaux</t>
  </si>
  <si>
    <t>BREZILLON</t>
  </si>
  <si>
    <t>Anne</t>
  </si>
  <si>
    <t>Adjoint</t>
  </si>
  <si>
    <t>F</t>
  </si>
  <si>
    <t>Sans profession déclarée</t>
  </si>
  <si>
    <t>F</t>
  </si>
  <si>
    <t>FEMMES adjointes</t>
  </si>
  <si>
    <t>DE 75 A 89 ANS</t>
  </si>
  <si>
    <t>Employés</t>
  </si>
  <si>
    <t>Bordeaux</t>
  </si>
  <si>
    <t>BRUGERE</t>
  </si>
  <si>
    <t>Nicolas</t>
  </si>
  <si>
    <t>Adjoint</t>
  </si>
  <si>
    <t>M</t>
  </si>
  <si>
    <t>Médecin</t>
  </si>
  <si>
    <t>F</t>
  </si>
  <si>
    <t>HOMMES adjoint + maire</t>
  </si>
  <si>
    <t>DE + 90 ANS</t>
  </si>
  <si>
    <t>Ouvriers</t>
  </si>
  <si>
    <t>Bordeaux</t>
  </si>
  <si>
    <t>CALMELS</t>
  </si>
  <si>
    <t>Virginie</t>
  </si>
  <si>
    <t>Adjoint</t>
  </si>
  <si>
    <t>F</t>
  </si>
  <si>
    <t>Industriel-Chef entreprise</t>
  </si>
  <si>
    <t>F</t>
  </si>
  <si>
    <t>Retraités</t>
  </si>
  <si>
    <t>Bordeaux</t>
  </si>
  <si>
    <t>CAZABONNE</t>
  </si>
  <si>
    <t>Didier</t>
  </si>
  <si>
    <t>Adjoint</t>
  </si>
  <si>
    <t>M</t>
  </si>
  <si>
    <t>Industriel-Chef entreprise</t>
  </si>
  <si>
    <t>F</t>
  </si>
  <si>
    <t>FEMMES</t>
  </si>
  <si>
    <t>DE 20 A 29 ANS</t>
  </si>
  <si>
    <t>Autres</t>
  </si>
  <si>
    <t>Bordeaux</t>
  </si>
  <si>
    <t>CAZALET</t>
  </si>
  <si>
    <t>Anne-Marie</t>
  </si>
  <si>
    <t>Adjoint</t>
  </si>
  <si>
    <t>F</t>
  </si>
  <si>
    <t>Cadre supérieur (secteur privé)</t>
  </si>
  <si>
    <t>F</t>
  </si>
  <si>
    <t>DE 30 A 44 ANS</t>
  </si>
  <si>
    <t>Bordeaux</t>
  </si>
  <si>
    <t>CHAZAL</t>
  </si>
  <si>
    <t>Solène</t>
  </si>
  <si>
    <t>F</t>
  </si>
  <si>
    <t>Autre cadre (secteur privé)</t>
  </si>
  <si>
    <t>F</t>
  </si>
  <si>
    <t>DE 45 A 59 ANS</t>
  </si>
  <si>
    <t>Bordeaux</t>
  </si>
  <si>
    <t>COLLET</t>
  </si>
  <si>
    <t>Brigitte</t>
  </si>
  <si>
    <t>Adjoint</t>
  </si>
  <si>
    <t>F</t>
  </si>
  <si>
    <t>Médecin</t>
  </si>
  <si>
    <t>F</t>
  </si>
  <si>
    <t>DE 60 A 74 ANS</t>
  </si>
  <si>
    <t>Femmes</t>
  </si>
  <si>
    <t>Agriculteurs exploitants</t>
  </si>
  <si>
    <t>Bordeaux</t>
  </si>
  <si>
    <t>COLOMBIER</t>
  </si>
  <si>
    <t>Jacques</t>
  </si>
  <si>
    <t>M</t>
  </si>
  <si>
    <t>Retraité des professions libérales</t>
  </si>
  <si>
    <t>F</t>
  </si>
  <si>
    <t>DE 75 A 89 ANS</t>
  </si>
  <si>
    <t>Artisans, commerçants et chefs d'entreprise</t>
  </si>
  <si>
    <t>Bordeaux</t>
  </si>
  <si>
    <t>CUNY</t>
  </si>
  <si>
    <t>Emmanuelle</t>
  </si>
  <si>
    <t>Adjoint</t>
  </si>
  <si>
    <t>F</t>
  </si>
  <si>
    <t>Sans profession déclarée</t>
  </si>
  <si>
    <t>F</t>
  </si>
  <si>
    <t>DE + 90 ANS</t>
  </si>
  <si>
    <t>Cadres et professions intellectuelles supérieures</t>
  </si>
  <si>
    <t>Bordeaux</t>
  </si>
  <si>
    <t>DAVID</t>
  </si>
  <si>
    <t>Jean-Louis</t>
  </si>
  <si>
    <t>Adjoint</t>
  </si>
  <si>
    <t>M</t>
  </si>
  <si>
    <t>Cadre supérieur (secteur privé)</t>
  </si>
  <si>
    <t>F</t>
  </si>
  <si>
    <t>HOMMES</t>
  </si>
  <si>
    <t>DE 20 A 29 ANS</t>
  </si>
  <si>
    <t>Professions intermédiaires</t>
  </si>
  <si>
    <t>Bordeaux</t>
  </si>
  <si>
    <t>DAVID</t>
  </si>
  <si>
    <t>Yohan</t>
  </si>
  <si>
    <t>M</t>
  </si>
  <si>
    <t>Employé (autres entrep. publiques)</t>
  </si>
  <si>
    <t>F</t>
  </si>
  <si>
    <t>DE 30 A 44 ANS</t>
  </si>
  <si>
    <t>Employés</t>
  </si>
  <si>
    <t>Bordeaux</t>
  </si>
  <si>
    <t>DEL REY</t>
  </si>
  <si>
    <t>Marie-José</t>
  </si>
  <si>
    <t>F</t>
  </si>
  <si>
    <t>Autre cadre (secteur privé)</t>
  </si>
  <si>
    <t>F</t>
  </si>
  <si>
    <t>DE 45 A 59 ANS</t>
  </si>
  <si>
    <t>Ouvriers</t>
  </si>
  <si>
    <t>Bordeaux</t>
  </si>
  <si>
    <t>DELATTRE</t>
  </si>
  <si>
    <t>Nathalie</t>
  </si>
  <si>
    <t>Adjoint</t>
  </si>
  <si>
    <t>F</t>
  </si>
  <si>
    <t>Sans profession déclarée</t>
  </si>
  <si>
    <t>F</t>
  </si>
  <si>
    <t>DE 60 A 74 ANS</t>
  </si>
  <si>
    <t>Retraités</t>
  </si>
  <si>
    <t>Bordeaux</t>
  </si>
  <si>
    <t>DELAUNAY</t>
  </si>
  <si>
    <t>Michèle</t>
  </si>
  <si>
    <t>F</t>
  </si>
  <si>
    <t>Médecin</t>
  </si>
  <si>
    <t>F</t>
  </si>
  <si>
    <t>DE 75 A 89 ANS</t>
  </si>
  <si>
    <t>Autres</t>
  </si>
  <si>
    <t>Bordeaux</t>
  </si>
  <si>
    <t>DELAUX</t>
  </si>
  <si>
    <t>Stéphan</t>
  </si>
  <si>
    <t>Adjoint</t>
  </si>
  <si>
    <t>M</t>
  </si>
  <si>
    <t>Industriel-Chef entreprise</t>
  </si>
  <si>
    <t>F</t>
  </si>
  <si>
    <t>DE + 90 ANS</t>
  </si>
  <si>
    <t>Hommes</t>
  </si>
  <si>
    <t>Agriculteurs exploitants</t>
  </si>
  <si>
    <t>Bordeaux</t>
  </si>
  <si>
    <t>DESSERTINE</t>
  </si>
  <si>
    <t>Laurence</t>
  </si>
  <si>
    <t>Adjoint</t>
  </si>
  <si>
    <t>F</t>
  </si>
  <si>
    <t>Professeur de faculté</t>
  </si>
  <si>
    <t>F</t>
  </si>
  <si>
    <t>Artisans, commerçants et chefs d'entreprise</t>
  </si>
  <si>
    <t>Bordeaux</t>
  </si>
  <si>
    <t>DU PARC</t>
  </si>
  <si>
    <t>Edouard</t>
  </si>
  <si>
    <t>M</t>
  </si>
  <si>
    <t>Industriel-Chef entreprise</t>
  </si>
  <si>
    <t>F</t>
  </si>
  <si>
    <t>Moyenne d'âge des femmes :</t>
  </si>
  <si>
    <t>Cadres et professions intellectuelles supérieures</t>
  </si>
  <si>
    <t>Bordeaux</t>
  </si>
  <si>
    <t>DUCHENE</t>
  </si>
  <si>
    <t>Michel</t>
  </si>
  <si>
    <t>M</t>
  </si>
  <si>
    <t>Commercant</t>
  </si>
  <si>
    <t>F</t>
  </si>
  <si>
    <t>Moyenne d'âge des hommes :</t>
  </si>
  <si>
    <t>Professions intermédiaires</t>
  </si>
  <si>
    <t>Bordeaux</t>
  </si>
  <si>
    <t>DUPOUY</t>
  </si>
  <si>
    <t>Alain</t>
  </si>
  <si>
    <t>M</t>
  </si>
  <si>
    <t>Industriel-Chef entreprise</t>
  </si>
  <si>
    <t>F</t>
  </si>
  <si>
    <t>Employés</t>
  </si>
  <si>
    <t>Bordeaux</t>
  </si>
  <si>
    <t>FELTESSE</t>
  </si>
  <si>
    <t>Vincent</t>
  </si>
  <si>
    <t>M</t>
  </si>
  <si>
    <t>Professeur de faculté</t>
  </si>
  <si>
    <t>F</t>
  </si>
  <si>
    <t>Ouvriers</t>
  </si>
  <si>
    <t>Bordeaux</t>
  </si>
  <si>
    <t>FETOUH</t>
  </si>
  <si>
    <t>Marik</t>
  </si>
  <si>
    <t>Adjoint</t>
  </si>
  <si>
    <t>M</t>
  </si>
  <si>
    <t>Autre profession libérale</t>
  </si>
  <si>
    <t>F</t>
  </si>
  <si>
    <t>AGE DES ADJOINTS + MAIRE :</t>
  </si>
  <si>
    <t>Retraités</t>
  </si>
  <si>
    <t>Bordeaux</t>
  </si>
  <si>
    <t>FLORIAN</t>
  </si>
  <si>
    <t>Nicolas</t>
  </si>
  <si>
    <t>Adjoint</t>
  </si>
  <si>
    <t>M</t>
  </si>
  <si>
    <t>Conseiller juridique</t>
  </si>
  <si>
    <t>F</t>
  </si>
  <si>
    <t>AGE</t>
  </si>
  <si>
    <t>Autres</t>
  </si>
  <si>
    <t>Bordeaux</t>
  </si>
  <si>
    <t>FORZY-RAFFARD</t>
  </si>
  <si>
    <t>Florence</t>
  </si>
  <si>
    <t>F</t>
  </si>
  <si>
    <t>Cadre supérieur (secteur privé)</t>
  </si>
  <si>
    <t>F</t>
  </si>
  <si>
    <t>DE 20 A 29 ANS</t>
  </si>
  <si>
    <t>Bordeaux</t>
  </si>
  <si>
    <t>FRAILE MARTIN</t>
  </si>
  <si>
    <t>Philippe</t>
  </si>
  <si>
    <t>M</t>
  </si>
  <si>
    <t>Enseignant 1er deg.-directeur école</t>
  </si>
  <si>
    <t>F</t>
  </si>
  <si>
    <t>DE 30 A 44 ANS</t>
  </si>
  <si>
    <t>PCS DES ADJOINTS + MAIRE</t>
  </si>
  <si>
    <t>Bordeaux</t>
  </si>
  <si>
    <t>FRONZES</t>
  </si>
  <si>
    <t>Magali</t>
  </si>
  <si>
    <t>Adjoint</t>
  </si>
  <si>
    <t>F</t>
  </si>
  <si>
    <t>Ingénieur</t>
  </si>
  <si>
    <t>F</t>
  </si>
  <si>
    <t>DE 45 A 59 ANS</t>
  </si>
  <si>
    <t>PCS</t>
  </si>
  <si>
    <t>Bordeaux</t>
  </si>
  <si>
    <t>GAUTE</t>
  </si>
  <si>
    <t>Jean-Michel</t>
  </si>
  <si>
    <t>Adjoint</t>
  </si>
  <si>
    <t>M</t>
  </si>
  <si>
    <t>Notaire</t>
  </si>
  <si>
    <t>F</t>
  </si>
  <si>
    <t>DE 60 A 74 ANS</t>
  </si>
  <si>
    <t>Agriculteurs exploitants</t>
  </si>
  <si>
    <t>Bordeaux</t>
  </si>
  <si>
    <t>GENTILLEAU</t>
  </si>
  <si>
    <t>Estelle</t>
  </si>
  <si>
    <t>F</t>
  </si>
  <si>
    <t>Journaliste et autre média</t>
  </si>
  <si>
    <t>F</t>
  </si>
  <si>
    <t>DE 75 A 89 ANS</t>
  </si>
  <si>
    <t>Artisans, commerçants et chefs d'entreprise</t>
  </si>
  <si>
    <t>Bordeaux</t>
  </si>
  <si>
    <t>GUENRO</t>
  </si>
  <si>
    <t>Nicolas</t>
  </si>
  <si>
    <t>M</t>
  </si>
  <si>
    <t>Cadre supérieur (secteur privé)</t>
  </si>
  <si>
    <t>F</t>
  </si>
  <si>
    <t>DE + 90 ANS</t>
  </si>
  <si>
    <t>Cadres et professions intellectuelles supérieures</t>
  </si>
  <si>
    <t>Bordeaux</t>
  </si>
  <si>
    <t>GUYOMARC'H</t>
  </si>
  <si>
    <t>Jean-Pierre</t>
  </si>
  <si>
    <t>M</t>
  </si>
  <si>
    <t>Médecin</t>
  </si>
  <si>
    <t>F</t>
  </si>
  <si>
    <t>Professions intermédiaires</t>
  </si>
  <si>
    <t>Bordeaux</t>
  </si>
  <si>
    <t>HURMIC</t>
  </si>
  <si>
    <t>Pierre</t>
  </si>
  <si>
    <t>M</t>
  </si>
  <si>
    <t>Avocat</t>
  </si>
  <si>
    <t>F</t>
  </si>
  <si>
    <t>Employés</t>
  </si>
  <si>
    <t>Bordeaux</t>
  </si>
  <si>
    <t>JAMET</t>
  </si>
  <si>
    <t>Delphine</t>
  </si>
  <si>
    <t>F</t>
  </si>
  <si>
    <t>Fonctionnaire de catégorie B</t>
  </si>
  <si>
    <t>F</t>
  </si>
  <si>
    <t>Ouvriers</t>
  </si>
  <si>
    <t>Bordeaux</t>
  </si>
  <si>
    <t>JARTY-ROY</t>
  </si>
  <si>
    <t>Laetitia</t>
  </si>
  <si>
    <t>F</t>
  </si>
  <si>
    <t>Conseiller juridique</t>
  </si>
  <si>
    <t>F</t>
  </si>
  <si>
    <t>Retraités</t>
  </si>
  <si>
    <t>Bordeaux</t>
  </si>
  <si>
    <t>JUPPÉ</t>
  </si>
  <si>
    <t>Alain</t>
  </si>
  <si>
    <t>Maire</t>
  </si>
  <si>
    <t>M</t>
  </si>
  <si>
    <t>Retraité fonct.publique (sf enseig.)</t>
  </si>
  <si>
    <t>F</t>
  </si>
  <si>
    <t>Autres</t>
  </si>
  <si>
    <t>Bordeaux</t>
  </si>
  <si>
    <t>KUZIEW</t>
  </si>
  <si>
    <t>Emilie</t>
  </si>
  <si>
    <t>Adjoint</t>
  </si>
  <si>
    <t>F</t>
  </si>
  <si>
    <t>Conseiller juridique</t>
  </si>
  <si>
    <t>F</t>
  </si>
  <si>
    <t>Bordeaux</t>
  </si>
  <si>
    <t>LABORDE</t>
  </si>
  <si>
    <t>Mariette</t>
  </si>
  <si>
    <t>F</t>
  </si>
  <si>
    <t>Enseignant 1er deg.-directeur école</t>
  </si>
  <si>
    <t>F</t>
  </si>
  <si>
    <t>Bordeaux</t>
  </si>
  <si>
    <t>LAFOSSE</t>
  </si>
  <si>
    <t>Marc</t>
  </si>
  <si>
    <t>M</t>
  </si>
  <si>
    <t>Autre profession</t>
  </si>
  <si>
    <t>F</t>
  </si>
  <si>
    <t>Bordeaux</t>
  </si>
  <si>
    <t>LIRE</t>
  </si>
  <si>
    <t>Marie-Françoise</t>
  </si>
  <si>
    <t>F</t>
  </si>
  <si>
    <t>Fonctionnaire de catégorie C</t>
  </si>
  <si>
    <t>F</t>
  </si>
  <si>
    <t>Bordeaux</t>
  </si>
  <si>
    <t>LOTHAIRE</t>
  </si>
  <si>
    <t>Pierre</t>
  </si>
  <si>
    <t>Adjoint</t>
  </si>
  <si>
    <t>M</t>
  </si>
  <si>
    <t>Commercant</t>
  </si>
  <si>
    <t>F</t>
  </si>
  <si>
    <t>Bordeaux</t>
  </si>
  <si>
    <t>LOUIMI</t>
  </si>
  <si>
    <t>Yassine</t>
  </si>
  <si>
    <t>M</t>
  </si>
  <si>
    <t>Profession rattachée à l'enseignt.</t>
  </si>
  <si>
    <t>F</t>
  </si>
  <si>
    <t>Bordeaux</t>
  </si>
  <si>
    <t>MARTIN</t>
  </si>
  <si>
    <t>Benoit</t>
  </si>
  <si>
    <t>M</t>
  </si>
  <si>
    <t>Agriculteur-propriétaire exploit.</t>
  </si>
  <si>
    <t>F</t>
  </si>
  <si>
    <t>Bordeaux</t>
  </si>
  <si>
    <t>MIGLIORE</t>
  </si>
  <si>
    <t>Cécile</t>
  </si>
  <si>
    <t>F</t>
  </si>
  <si>
    <t>Fonctionnaire de catégorie A</t>
  </si>
  <si>
    <t>F</t>
  </si>
  <si>
    <t>Bordeaux</t>
  </si>
  <si>
    <t>MOLLAT</t>
  </si>
  <si>
    <t>Constance</t>
  </si>
  <si>
    <t>F</t>
  </si>
  <si>
    <t>Médecin</t>
  </si>
  <si>
    <t>F</t>
  </si>
  <si>
    <t>Bordeaux</t>
  </si>
  <si>
    <t>NJIKAM MOULIOM</t>
  </si>
  <si>
    <t>Pierre De Gaétan</t>
  </si>
  <si>
    <t>Adjoint</t>
  </si>
  <si>
    <t>M</t>
  </si>
  <si>
    <t>Autre profession</t>
  </si>
  <si>
    <t>F</t>
  </si>
  <si>
    <t>Bordeaux</t>
  </si>
  <si>
    <t>PIAZZA</t>
  </si>
  <si>
    <t>Arielle</t>
  </si>
  <si>
    <t>Adjoint</t>
  </si>
  <si>
    <t>F</t>
  </si>
  <si>
    <t>Profession rattachée à l'enseignt.</t>
  </si>
  <si>
    <t>F</t>
  </si>
  <si>
    <t>Bordeaux</t>
  </si>
  <si>
    <t>REIFFERS</t>
  </si>
  <si>
    <t>Josy</t>
  </si>
  <si>
    <t>M</t>
  </si>
  <si>
    <t>Médecin</t>
  </si>
  <si>
    <t>F</t>
  </si>
  <si>
    <t>Bordeaux</t>
  </si>
  <si>
    <t>RENOU</t>
  </si>
  <si>
    <t>Sandrine</t>
  </si>
  <si>
    <t>F</t>
  </si>
  <si>
    <t>Autre cadre (secteur privé)</t>
  </si>
  <si>
    <t>F</t>
  </si>
  <si>
    <t>Bordeaux</t>
  </si>
  <si>
    <t>ROBERT</t>
  </si>
  <si>
    <t>Fabien</t>
  </si>
  <si>
    <t>Adjoint</t>
  </si>
  <si>
    <t>M</t>
  </si>
  <si>
    <t>Profession rattachée à l'enseignt.</t>
  </si>
  <si>
    <t>F</t>
  </si>
  <si>
    <t>Bordeaux</t>
  </si>
  <si>
    <t>ROUVEYRE</t>
  </si>
  <si>
    <t>Matthieu</t>
  </si>
  <si>
    <t>M</t>
  </si>
  <si>
    <t>Industriel-Chef entreprise</t>
  </si>
  <si>
    <t>F</t>
  </si>
  <si>
    <t>Bordeaux</t>
  </si>
  <si>
    <t>SIARRI</t>
  </si>
  <si>
    <t>Alexandra</t>
  </si>
  <si>
    <t>Adjoint</t>
  </si>
  <si>
    <t>F</t>
  </si>
  <si>
    <t>Fonctionnaire de catégorie A</t>
  </si>
  <si>
    <t>F</t>
  </si>
  <si>
    <t>Bordeaux</t>
  </si>
  <si>
    <t>SILVESTRE</t>
  </si>
  <si>
    <t>Alain</t>
  </si>
  <si>
    <t>M</t>
  </si>
  <si>
    <t>Médecin</t>
  </si>
  <si>
    <t>F</t>
  </si>
  <si>
    <t>Bordeaux</t>
  </si>
  <si>
    <t>SIRI</t>
  </si>
  <si>
    <t>Jérôme</t>
  </si>
  <si>
    <t>Adjoint</t>
  </si>
  <si>
    <t>M</t>
  </si>
  <si>
    <t>Commercant</t>
  </si>
  <si>
    <t>F</t>
  </si>
  <si>
    <t>Bordeaux</t>
  </si>
  <si>
    <t>SOLARI</t>
  </si>
  <si>
    <t>Joël</t>
  </si>
  <si>
    <t>Adjoint</t>
  </si>
  <si>
    <t>M</t>
  </si>
  <si>
    <t>Industriel-Chef entreprise</t>
  </si>
  <si>
    <t>F</t>
  </si>
  <si>
    <t>Bordeaux</t>
  </si>
  <si>
    <t>TORRES</t>
  </si>
  <si>
    <t>Ana-Maria</t>
  </si>
  <si>
    <t>F</t>
  </si>
  <si>
    <t>Professeur du secondaire et techn.</t>
  </si>
  <si>
    <t>P</t>
  </si>
  <si>
    <t>Bordeaux</t>
  </si>
  <si>
    <t>TOUTON</t>
  </si>
  <si>
    <t>Elizabeth</t>
  </si>
  <si>
    <t>Adjoint</t>
  </si>
  <si>
    <t>F</t>
  </si>
  <si>
    <t>Architecte</t>
  </si>
  <si>
    <t>F</t>
  </si>
  <si>
    <t>Bordeaux</t>
  </si>
  <si>
    <t>VILLANOVE</t>
  </si>
  <si>
    <t>Marie-Hélène</t>
  </si>
  <si>
    <t>F</t>
  </si>
  <si>
    <t>Autre profession libérale</t>
  </si>
  <si>
    <t>F</t>
  </si>
  <si>
    <t>Bordeaux</t>
  </si>
  <si>
    <t>WALRYCK</t>
  </si>
  <si>
    <t>Anne</t>
  </si>
  <si>
    <t>F</t>
  </si>
  <si>
    <t>Autre cadre (secteur privé)</t>
  </si>
  <si>
    <t>F</t>
  </si>
  <si>
    <t>Maire &amp; adjoints :</t>
  </si>
  <si>
    <t>GIRONDE (33) - Bordeaux</t>
  </si>
  <si>
    <t>Sièges à pourvoir</t>
  </si>
  <si>
    <t>Sièges pourvus</t>
  </si>
  <si>
    <t>Conseil municipal</t>
  </si>
  <si>
    <t>Conseil communautaire</t>
  </si>
  <si>
    <t>Liste conduite par</t>
  </si>
  <si>
    <t>Elu(es) au conseil municipal</t>
  </si>
  <si>
    <t>Elu(e) au conseil communautaire</t>
  </si>
  <si>
    <t>M. Alain JUPPÉ (LUD)</t>
  </si>
  <si>
    <t>1. M. Alain JUPPÉ</t>
  </si>
  <si>
    <t>Oui</t>
  </si>
  <si>
    <t>2. Mme Maribel BERNARD</t>
  </si>
  <si>
    <t>Oui</t>
  </si>
  <si>
    <t>3. M. Erick AOUIZERATE</t>
  </si>
  <si>
    <t>Oui</t>
  </si>
  <si>
    <t>4. Mme Anne BREZILLON</t>
  </si>
  <si>
    <t>Oui</t>
  </si>
  <si>
    <t>5. M. Nicolas BRUGERE</t>
  </si>
  <si>
    <t>Oui</t>
  </si>
  <si>
    <t>6. Mme Virginie CALMELS</t>
  </si>
  <si>
    <t>Oui</t>
  </si>
  <si>
    <t>7. M. Didier CAZABONNE</t>
  </si>
  <si>
    <t>Oui</t>
  </si>
  <si>
    <t>8. Mme Anne-Marie CAZALET</t>
  </si>
  <si>
    <t>Oui</t>
  </si>
  <si>
    <t>9. M. Jean-Louis DAVID</t>
  </si>
  <si>
    <t>Oui</t>
  </si>
  <si>
    <t>10. Mme Solène CHAZAL</t>
  </si>
  <si>
    <t>Oui</t>
  </si>
  <si>
    <t>11. M. Yohan DAVID</t>
  </si>
  <si>
    <t>Oui</t>
  </si>
  <si>
    <t>12. Mme Brigitte COLLET</t>
  </si>
  <si>
    <t>Oui</t>
  </si>
  <si>
    <t>13. M. Stéphan DELAUX</t>
  </si>
  <si>
    <t>Oui</t>
  </si>
  <si>
    <t>14. Mme Emmanuelle CUNY</t>
  </si>
  <si>
    <t>Oui</t>
  </si>
  <si>
    <t>15. M. Michel DUCHENE</t>
  </si>
  <si>
    <t>Oui</t>
  </si>
  <si>
    <t>16. Mme Nathalie DELATTRE</t>
  </si>
  <si>
    <t>Oui</t>
  </si>
  <si>
    <t>17. M. Marik FETOUH</t>
  </si>
  <si>
    <t>Oui</t>
  </si>
  <si>
    <t>18. Mme Laurence DESSERTINE</t>
  </si>
  <si>
    <t>Oui</t>
  </si>
  <si>
    <t>19. M. Nicolas FLORIAN</t>
  </si>
  <si>
    <t>Oui</t>
  </si>
  <si>
    <t>20. Mme Magali FRONZES</t>
  </si>
  <si>
    <t>Oui</t>
  </si>
  <si>
    <t>21. M. Pierre LOTHAIRE</t>
  </si>
  <si>
    <t>Oui</t>
  </si>
  <si>
    <t>22. Mme Arielle PIAZZA</t>
  </si>
  <si>
    <t>Oui</t>
  </si>
  <si>
    <t>23. M. Pierre De Gaétan NJIKAM MOULIOM</t>
  </si>
  <si>
    <t>Oui</t>
  </si>
  <si>
    <t>24. Mme Elizabeth TOUTON</t>
  </si>
  <si>
    <t>Oui</t>
  </si>
  <si>
    <t>25. M. Josy REIFFERS</t>
  </si>
  <si>
    <t>Oui</t>
  </si>
  <si>
    <t>26. Mme Marie-Hélène VILLANOVE</t>
  </si>
  <si>
    <t>Oui</t>
  </si>
  <si>
    <t>27. M. Fabien ROBERT</t>
  </si>
  <si>
    <t>Oui</t>
  </si>
  <si>
    <t>28. Mme Anne WALRYCK</t>
  </si>
  <si>
    <t>Oui</t>
  </si>
  <si>
    <t>29. M. Alain SILVESTRE</t>
  </si>
  <si>
    <t>Oui</t>
  </si>
  <si>
    <t>30. Mme Florence FORZY-RAFFARD</t>
  </si>
  <si>
    <t>Oui</t>
  </si>
  <si>
    <t>31. M. Philippe FRAILE MARTIN</t>
  </si>
  <si>
    <t>Oui</t>
  </si>
  <si>
    <t>32. Mme Laetitia JARTY-ROY</t>
  </si>
  <si>
    <t>33. M. Jean-Pierre GUYOMARC'H</t>
  </si>
  <si>
    <t>34. Mme Emilie KUZIEW</t>
  </si>
  <si>
    <t>35. M. Marc LAFOSSE</t>
  </si>
  <si>
    <t>36. Mme Constance MOLLAT</t>
  </si>
  <si>
    <t>37. M. Jérôme SIRI</t>
  </si>
  <si>
    <t>38. Mme Ana-Maria TORRES</t>
  </si>
  <si>
    <t>39. M. Guy ACCOCEBERRY</t>
  </si>
  <si>
    <t>40. Mme Marie-José DEL REY</t>
  </si>
  <si>
    <t>41. M. Edouard DU PARC</t>
  </si>
  <si>
    <t>42. Mme Estelle GENTILLEAU</t>
  </si>
  <si>
    <t>43. M. Alain DUPOUY</t>
  </si>
  <si>
    <t>44. Mme Cécile MIGLIORE</t>
  </si>
  <si>
    <t>45. M. Jean-Michel GAUTE</t>
  </si>
  <si>
    <t>46. Mme Sandrine RENOU</t>
  </si>
  <si>
    <t>47. M. Joël SOLARI</t>
  </si>
  <si>
    <t>48. Mme Alexandra SIARRI</t>
  </si>
  <si>
    <t>49. M. Benoit MARTIN</t>
  </si>
  <si>
    <t>50. Mme Mariette LABORDE</t>
  </si>
  <si>
    <t>51. M. Yassine LOUIMI</t>
  </si>
  <si>
    <t>52. Mme Marie-Françoise LIRE</t>
  </si>
  <si>
    <t>M. Vincent FELTESSE (LUG)</t>
  </si>
  <si>
    <t>1. M. Vincent FELTESSE</t>
  </si>
  <si>
    <t>Oui</t>
  </si>
  <si>
    <t>2. Mme Michèle DELAUNAY</t>
  </si>
  <si>
    <t>Oui</t>
  </si>
  <si>
    <t>3. M. Pierre HURMIC</t>
  </si>
  <si>
    <t>Oui</t>
  </si>
  <si>
    <t>4. Mme Emmanuelle AJON</t>
  </si>
  <si>
    <t>Oui</t>
  </si>
  <si>
    <t>5. M. Matthieu ROUVEYRE</t>
  </si>
  <si>
    <t>6. Mme Delphine JAMET</t>
  </si>
  <si>
    <t>7. M. Nicolas GUENRO</t>
  </si>
  <si>
    <t>M. Jacques COLOMBIER (LFN)</t>
  </si>
  <si>
    <t>1. M. Jacques COLOMBIER</t>
  </si>
  <si>
    <t>Oui</t>
  </si>
  <si>
    <t>2. Mme Catherine BOUILHET</t>
  </si>
  <si>
    <t>Résultats du 1er tour</t>
  </si>
  <si>
    <t>Liste conduite par</t>
  </si>
  <si>
    <t>Voix</t>
  </si>
  <si>
    <t>% inscrits</t>
  </si>
  <si>
    <t>% exprimés</t>
  </si>
  <si>
    <t>Pour 61 élus</t>
  </si>
  <si>
    <t>Sièges au conseil municipal</t>
  </si>
  <si>
    <t>Sièges au conseil communautaire</t>
  </si>
  <si>
    <t>M. Alain JUPPÉ (LUD)</t>
  </si>
  <si>
    <t>33,12</t>
  </si>
  <si>
    <t>M. Vincent FELTESSE (LUG)</t>
  </si>
  <si>
    <t>12,27</t>
  </si>
  <si>
    <t>M. Yves SIMONE (LDIV)</t>
  </si>
  <si>
    <t>1,51</t>
  </si>
  <si>
    <t>M. Vincent MAURIN (LFG)</t>
  </si>
  <si>
    <t>2,49</t>
  </si>
  <si>
    <t>M. Jacques COLOMBIER (LFN)</t>
  </si>
  <si>
    <t>3,29</t>
  </si>
  <si>
    <t>Mme Fanny QUANDALLE (LEXG)</t>
  </si>
  <si>
    <t>0,27</t>
  </si>
  <si>
    <t>M. Philippe POUTOU (LEXG)</t>
  </si>
  <si>
    <t>1,36</t>
  </si>
  <si>
    <t>La répartition des sièges n'a lieu au 1er tour que si une liste a recueilli la majorité absolue des suffrages exprimés.</t>
  </si>
  <si>
    <t>Nombre</t>
  </si>
  <si>
    <t>% Inscrits</t>
  </si>
  <si>
    <t>% Votants</t>
  </si>
  <si>
    <t>Inscrits</t>
  </si>
  <si>
    <t>Abstentions</t>
  </si>
  <si>
    <t>44,72</t>
  </si>
  <si>
    <t>Votants</t>
  </si>
  <si>
    <t>55,28</t>
  </si>
  <si>
    <t>Blancs ou nuls</t>
  </si>
  <si>
    <t>0,94</t>
  </si>
  <si>
    <t>1,70</t>
  </si>
  <si>
    <t>Exprimés</t>
  </si>
  <si>
    <t>54,34</t>
  </si>
  <si>
    <t>98,30</t>
  </si>
  <si>
    <t>En raison des arrondis à la deuxième décimale, la somme des pourcentages exprimés peut ne pas être égale à 100%.</t>
  </si>
  <si>
    <t>* Sous réserve d'éventuelles corrections et de décisions du juge de l'élection</t>
  </si>
  <si>
    <t>Chiffres clés    -     Évolution et structure de la population</t>
  </si>
  <si>
    <t>France - Communes (hors Mayotte) </t>
  </si>
  <si>
    <t>Découpage géographique au 01/01/2012 (pour les données RP1999 : découpage géographique communal au 01/01/1999)</t>
  </si>
  <si>
    <t>© Insee</t>
  </si>
  <si>
    <t>Code géographique</t>
  </si>
  <si>
    <t>Libellé géographique</t>
  </si>
  <si>
    <t>Population en 2010 (princ)</t>
  </si>
  <si>
    <t>Pop 0-14 ans en 2010 (princ)</t>
  </si>
  <si>
    <t>Pop 15-29 ans en 2010 (princ)</t>
  </si>
  <si>
    <t>Pop 30-44 ans en 2010 (princ)</t>
  </si>
  <si>
    <t>Pop 45-59 ans en 2010 (princ)</t>
  </si>
  <si>
    <t>Pop 60-74 ans en 2010 (princ)</t>
  </si>
  <si>
    <t>Pop 75 ans ou plus en 2010 (princ)</t>
  </si>
  <si>
    <t>Pop Hommes en 2010 (princ)</t>
  </si>
  <si>
    <t>Pop Hommes 0-14 ans en 2010 (princ)</t>
  </si>
  <si>
    <t>Pop Hommes 15-29 ans en 2010 (princ)</t>
  </si>
  <si>
    <t>Pop Hommes 30-44 ans en 2010 (princ)</t>
  </si>
  <si>
    <t>Pop Hommes 45-59 ans en 2010 (princ)</t>
  </si>
  <si>
    <t>Pop Hommes 60-74 ans en 2010 (princ)</t>
  </si>
  <si>
    <t>Pop Hommes 75-89 ans en 2010 (princ)</t>
  </si>
  <si>
    <t>Pop Hommes 90 ans ou plus en 2010 (princ)</t>
  </si>
  <si>
    <t>Pop Hommes 0-19 ans en 2010 (princ)</t>
  </si>
  <si>
    <t>Pop Hommes 20-64 ans en 2010 (princ)</t>
  </si>
  <si>
    <t>Pop Hommes 65 ans ou plus en 2010 (princ)</t>
  </si>
  <si>
    <t>Pop Femmes en 2010 (princ)</t>
  </si>
  <si>
    <t>Pop Femmes 0-14 ans en 2010 (princ)</t>
  </si>
  <si>
    <t>Pop Femmes 15-29 ans en 2010 (princ)</t>
  </si>
  <si>
    <t>Pop Femmes 30-44 ans en 2010 (princ)</t>
  </si>
  <si>
    <t>Pop Femmes 45-59 ans en 2010 (princ)</t>
  </si>
  <si>
    <t>Pop Femmes 60-74 ans en 2010 (princ)</t>
  </si>
  <si>
    <t>Pop Femmes 75-89 ans en 2010 (princ)</t>
  </si>
  <si>
    <t>Pop Femmes 90 ans ou plus en 2010 (princ)</t>
  </si>
  <si>
    <t>Pop Femmes 0-19 ans en 2010 (princ)</t>
  </si>
  <si>
    <t>Pop Femmes 20-64 ans en 2010 (princ)</t>
  </si>
  <si>
    <t>Pop Femmes 65 ans ou plus en 2010 (princ)</t>
  </si>
  <si>
    <t>Pop 15 ans ou plus en 2010 (compl)</t>
  </si>
  <si>
    <t>Pop 15 ans ou plus Agriculteurs exploitants en 2010 (compl)</t>
  </si>
  <si>
    <t>Pop 15 ans ou plus Artisans, Comm., Chefs entr. en 2010 (compl)</t>
  </si>
  <si>
    <t>Pop 15 ans ou plus Cadres, Prof. intel. sup. en 2010 (compl)</t>
  </si>
  <si>
    <t>Pop 15 ans ou plus Prof. intermédiaires  en 2010 (compl)</t>
  </si>
  <si>
    <t>Pop 15 ans ou plus Employés en 2010 (compl)</t>
  </si>
  <si>
    <t>Pop 15 ans ou plus Ouvriers en 2010 (compl)</t>
  </si>
  <si>
    <t>Pop 15 ans ou plus Retraités  en 2010 (compl)</t>
  </si>
  <si>
    <t>Pop 15 ans ou plus Autres en 2010 (compl)</t>
  </si>
  <si>
    <t>Pop 15 ans ou plus Hommes en 2010 (compl)</t>
  </si>
  <si>
    <t>Pop 15 ans ou plus Hommes Agriculteurs exploitants en 2010 (compl)</t>
  </si>
  <si>
    <t>Pop 15 ans ou plus Hommes Artisans, Comm., Chefs entr. en 2010 (compl)</t>
  </si>
  <si>
    <t>Pop 15 ans ou plus Hommes Cadres, Prof. intel. sup. en 2010 (compl)</t>
  </si>
  <si>
    <t>Pop 15 ans ou plus Hommes Prof. intermédiaires en 2010 (compl)</t>
  </si>
  <si>
    <t>Pop 15 ans ou plus Hommes Employés en 2010 (compl)</t>
  </si>
  <si>
    <t>Pop 15 ans ou plus Hommes Ouvriers en 2010 (compl)</t>
  </si>
  <si>
    <t>Pop 15 ans ou plus Hommes Retraités en 2010 (compl)</t>
  </si>
  <si>
    <t>Pop 15 ans ou plus Hommes Autres en 2010 (compl)</t>
  </si>
  <si>
    <t>Pop 15 ans ou plus Femmes en 2010 (compl)</t>
  </si>
  <si>
    <t>Pop 15 ans ou plus Femmes Agriculteurs exploitants en 2010 (compl)</t>
  </si>
  <si>
    <t>Pop 15 ans ou plus Femmes Artisans, Comm., Chefs entr. en 2010 (compl)</t>
  </si>
  <si>
    <t>Pop 15 ans ou plus Femmes Cadres, Prof. intel. sup. en 2010 (compl)</t>
  </si>
  <si>
    <t>Pop 15 ans ou plus Femmes Prof. intermédiaires en 2010 (compl)</t>
  </si>
  <si>
    <t>Pop 15 ans ou plus Femmes Employés en 2010 (compl)</t>
  </si>
  <si>
    <t>Pop 15 ans ou plus Femmes Ouvriers en 2010 (compl)</t>
  </si>
  <si>
    <t>Pop 15 ans ou plus Femmes Retraités en 2010 (compl)</t>
  </si>
  <si>
    <t>Pop 15 ans ou plus Femmes Autres en 2010 (compl)</t>
  </si>
  <si>
    <t>Pop 15-24 ans en 2010 (compl)</t>
  </si>
  <si>
    <t>Pop 15-24 ans Agriculteurs exploitants en 2010 (compl)</t>
  </si>
  <si>
    <t>Pop 15-24 ans Artisans, Comm., Chefs entr. en 2010 (compl)</t>
  </si>
  <si>
    <t>Pop 15-24 ans Cadres, Prof. intel. sup. en 2010 (compl)</t>
  </si>
  <si>
    <t>Pop 15-24 ans Prof. intermédiaires en 2010 (compl)</t>
  </si>
  <si>
    <t>Pop 15-24 ans Employés en 2010 (compl)</t>
  </si>
  <si>
    <t>Pop 15-24 ans Ouvriers en 2010 (compl)</t>
  </si>
  <si>
    <t>Pop 15-24 ans Retraités en 2010 (compl)</t>
  </si>
  <si>
    <t>Pop 15-24 ans Autres en 2010 (compl)</t>
  </si>
  <si>
    <t>Pop 25-54 ans en 2010 (compl)</t>
  </si>
  <si>
    <t>Pop 25-54 ans Agriculteurs exploitants en 2010 (compl)</t>
  </si>
  <si>
    <t>Pop 25-54 ans Artisans, Comm., Chefs entr. en 2010 (compl)</t>
  </si>
  <si>
    <t>Pop 25-54 ans Cadres, Prof. intel. sup. en 2010 (compl)</t>
  </si>
  <si>
    <t>Pop 25-54 ans Prof. intermédiaires en 2010 (compl)</t>
  </si>
  <si>
    <t>Pop 25-54 ans Employés en 2010 (compl)</t>
  </si>
  <si>
    <t>Pop 25-54 ans Ouvriers en 2010 (compl)</t>
  </si>
  <si>
    <t>Pop 25-54 ans Retraités en 2010 (compl)</t>
  </si>
  <si>
    <t>Pop 25-54 ans Autres en 2010 (compl)</t>
  </si>
  <si>
    <t>Pop 55 ans ou plus en 2010 (compl)</t>
  </si>
  <si>
    <t>Pop 55 ans ou plus Agriculteurs exploitants en 2010 (compl)</t>
  </si>
  <si>
    <t>Pop 55 ans ou plus Artisans, Comm., Chefs entr. en 2010 (compl)</t>
  </si>
  <si>
    <t>Pop 55 ans ou plus Cadres, Prof. intel. sup. en 2010 (compl)</t>
  </si>
  <si>
    <t>Pop 55 ans ou plus Prof. intermédiaires en 2010 (compl)</t>
  </si>
  <si>
    <t>Pop 55 ans ou plus Employés en 2010 (compl)</t>
  </si>
  <si>
    <t>Pop 55 ans ou plus Ouvriers en 2010 (compl)</t>
  </si>
  <si>
    <t>Pop 55 ans ou plus Retraités en 2010 (compl)</t>
  </si>
  <si>
    <t>Pop 55 ans ou plus Autres en 2010 (compl)</t>
  </si>
  <si>
    <t>CODGEO</t>
  </si>
  <si>
    <t>LIBGEO</t>
  </si>
  <si>
    <t>P10_POP</t>
  </si>
  <si>
    <t>P10_POP0014</t>
  </si>
  <si>
    <t>P10_POP1529</t>
  </si>
  <si>
    <t>P10_POP3044</t>
  </si>
  <si>
    <t>P10_POP4559</t>
  </si>
  <si>
    <t>P10_POP6074</t>
  </si>
  <si>
    <t>P10_POP75P</t>
  </si>
  <si>
    <t>P10_POPH</t>
  </si>
  <si>
    <t>P10_H0014</t>
  </si>
  <si>
    <t>P10_H1529</t>
  </si>
  <si>
    <t>P10_H3044</t>
  </si>
  <si>
    <t>P10_H4559</t>
  </si>
  <si>
    <t>P10_H6074</t>
  </si>
  <si>
    <t>P10_H7589</t>
  </si>
  <si>
    <t>P10_H90P</t>
  </si>
  <si>
    <t>P10_H0019</t>
  </si>
  <si>
    <t>P10_H2064</t>
  </si>
  <si>
    <t>P10_H65P</t>
  </si>
  <si>
    <t>P10_POPF</t>
  </si>
  <si>
    <t>P10_F0014</t>
  </si>
  <si>
    <t>P10_F1529</t>
  </si>
  <si>
    <t>P10_F3044</t>
  </si>
  <si>
    <t>P10_F4559</t>
  </si>
  <si>
    <t>P10_F6074</t>
  </si>
  <si>
    <t>P10_F7589</t>
  </si>
  <si>
    <t>P10_F90P</t>
  </si>
  <si>
    <t>P10_F0019</t>
  </si>
  <si>
    <t>P10_F2064</t>
  </si>
  <si>
    <t>P10_F65P</t>
  </si>
  <si>
    <t>C10_POP15P</t>
  </si>
  <si>
    <t>C10_POP15P_CS1</t>
  </si>
  <si>
    <t>C10_POP15P_CS2</t>
  </si>
  <si>
    <t>C10_POP15P_CS3</t>
  </si>
  <si>
    <t>C10_POP15P_CS4</t>
  </si>
  <si>
    <t>C10_POP15P_CS5</t>
  </si>
  <si>
    <t>C10_POP15P_CS6</t>
  </si>
  <si>
    <t>C10_POP15P_CS7</t>
  </si>
  <si>
    <t>C10_POP15P_CS8</t>
  </si>
  <si>
    <t>C10_H15P</t>
  </si>
  <si>
    <t>C10_H15P_CS1</t>
  </si>
  <si>
    <t>C10_H15P_CS2</t>
  </si>
  <si>
    <t>C10_H15P_CS3</t>
  </si>
  <si>
    <t>C10_H15P_CS4</t>
  </si>
  <si>
    <t>C10_H15P_CS5</t>
  </si>
  <si>
    <t>C10_H15P_CS6</t>
  </si>
  <si>
    <t>C10_H15P_CS7</t>
  </si>
  <si>
    <t>C10_H15P_CS8</t>
  </si>
  <si>
    <t>C10_F15P</t>
  </si>
  <si>
    <t>C10_F15P_CS1</t>
  </si>
  <si>
    <t>C10_F15P_CS2</t>
  </si>
  <si>
    <t>C10_F15P_CS3</t>
  </si>
  <si>
    <t>C10_F15P_CS4</t>
  </si>
  <si>
    <t>C10_F15P_CS5</t>
  </si>
  <si>
    <t>C10_F15P_CS6</t>
  </si>
  <si>
    <t>C10_F15P_CS7</t>
  </si>
  <si>
    <t>C10_F15P_CS8</t>
  </si>
  <si>
    <t>C10_POP1524</t>
  </si>
  <si>
    <t>C10_POP1524_CS1</t>
  </si>
  <si>
    <t>C10_POP1524_CS2</t>
  </si>
  <si>
    <t>C10_POP1524_CS3</t>
  </si>
  <si>
    <t>C10_POP1524_CS4</t>
  </si>
  <si>
    <t>C10_POP1524_CS5</t>
  </si>
  <si>
    <t>C10_POP1524_CS6</t>
  </si>
  <si>
    <t>C10_POP1524_CS7</t>
  </si>
  <si>
    <t>C10_POP1524_CS8</t>
  </si>
  <si>
    <t>C10_POP2554</t>
  </si>
  <si>
    <t>C10_POP2554_CS1</t>
  </si>
  <si>
    <t>C10_POP2554_CS2</t>
  </si>
  <si>
    <t>C10_POP2554_CS3</t>
  </si>
  <si>
    <t>C10_POP2554_CS4</t>
  </si>
  <si>
    <t>C10_POP2554_CS5</t>
  </si>
  <si>
    <t>C10_POP2554_CS6</t>
  </si>
  <si>
    <t>C10_POP2554_CS7</t>
  </si>
  <si>
    <t>C10_POP2554_CS8</t>
  </si>
  <si>
    <t>C10_POP55P</t>
  </si>
  <si>
    <t>C10_POP55P_CS1</t>
  </si>
  <si>
    <t>C10_POP55P_CS2</t>
  </si>
  <si>
    <t>C10_POP55P_CS3</t>
  </si>
  <si>
    <t>C10_POP55P_CS4</t>
  </si>
  <si>
    <t>C10_POP55P_CS5</t>
  </si>
  <si>
    <t>C10_POP55P_CS6</t>
  </si>
  <si>
    <t>C10_POP55P_CS7</t>
  </si>
  <si>
    <t>C10_POP55P_CS8</t>
  </si>
  <si>
    <t>33063</t>
  </si>
  <si>
    <t>Bordeaux</t>
  </si>
  <si>
    <t>Pop + de 15 ans :</t>
  </si>
  <si>
    <t>Pop + de 20 ans :</t>
  </si>
  <si>
    <t>SEXE</t>
  </si>
  <si>
    <t>AGE</t>
  </si>
  <si>
    <t>PCS</t>
  </si>
  <si>
    <t>FEMMES</t>
  </si>
  <si>
    <t>DE 20 A 29 ANS</t>
  </si>
  <si>
    <t>Agriculteurs exploitants</t>
  </si>
  <si>
    <t>HOMMES</t>
  </si>
  <si>
    <t>DE 30 A 44 ANS</t>
  </si>
  <si>
    <t>Artisans, commerçants et chefs d'entreprise</t>
  </si>
  <si>
    <t>DE 45 A 59 ANS</t>
  </si>
  <si>
    <t>Cadres et professions intellectuelles supérieures</t>
  </si>
  <si>
    <t>DE 60 A 74 ANS</t>
  </si>
  <si>
    <t>Professions intermédiaires</t>
  </si>
  <si>
    <t>DE 75 A 89 ANS</t>
  </si>
  <si>
    <t>Employés</t>
  </si>
  <si>
    <t>DE + 90 ANS</t>
  </si>
  <si>
    <t>Ouvriers</t>
  </si>
  <si>
    <t>Retraités</t>
  </si>
  <si>
    <t>FEMMES</t>
  </si>
  <si>
    <t>DE 20 A 29 ANS</t>
  </si>
  <si>
    <t>Autres</t>
  </si>
  <si>
    <t>DE 30 A 44 ANS</t>
  </si>
  <si>
    <t>DE 45 A 59 ANS</t>
  </si>
  <si>
    <t>Femmes</t>
  </si>
  <si>
    <t>Agriculteurs exploitants</t>
  </si>
  <si>
    <t>DE 60 A 74 ANS</t>
  </si>
  <si>
    <t>Artisans, commerçants et chefs d'entreprise</t>
  </si>
  <si>
    <t>DE 75 A 89 ANS</t>
  </si>
  <si>
    <t>Cadres et professions intellectuelles supérieures</t>
  </si>
  <si>
    <t>DE + 90 ANS</t>
  </si>
  <si>
    <t>Professions intermédiaires</t>
  </si>
  <si>
    <t>HOMMES</t>
  </si>
  <si>
    <t>DE 20 A 29 ANS</t>
  </si>
  <si>
    <t>Employés</t>
  </si>
  <si>
    <t>DE 30 A 44 ANS</t>
  </si>
  <si>
    <t>Ouvriers</t>
  </si>
  <si>
    <t>DE 45 A 59 ANS</t>
  </si>
  <si>
    <t>Retraités</t>
  </si>
  <si>
    <t>DE 60 A 74 ANS</t>
  </si>
  <si>
    <t>Autres</t>
  </si>
  <si>
    <t>DE 75 A 89 ANS</t>
  </si>
  <si>
    <t>Hommes</t>
  </si>
  <si>
    <t>Agriculteurs exploitants</t>
  </si>
  <si>
    <t>DE + 90 ANS</t>
  </si>
  <si>
    <t>Artisans, commerçants et chefs d'entreprise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</si>
  <si>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</si>
  <si>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</si>
  <si>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</si>
  <si>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</si>
  <si>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</si>
  <si>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</t>
  </si>
  <si>
    <t>CONSEIL MUNICIPAL 2014</t>
  </si>
  <si>
    <t>CONSEIL MUNICIPAL FICTIF REPRESENTATIF DE LA POPULATION DE BORDEAUX EN 2010</t>
  </si>
  <si>
    <t>CATEGORIES SUR REPRENSENTEES</t>
  </si>
  <si>
    <t>CATEGORIES SOUS REPRESENTEES</t>
  </si>
  <si>
    <t>ECHANTILLON : + DE 20 ANS, sauf pour PCS : + DE 15 ANS</t>
  </si>
  <si>
    <t>POUR 61 ELUS</t>
  </si>
  <si>
    <t>SEXE</t>
  </si>
  <si>
    <t>SEXE</t>
  </si>
  <si>
    <t>FEMMES</t>
  </si>
  <si>
    <t>FEMMES</t>
  </si>
  <si>
    <t>Femmes :</t>
  </si>
  <si>
    <t>HOMMES</t>
  </si>
  <si>
    <t>HOMMES</t>
  </si>
  <si>
    <t>Hommes :</t>
  </si>
  <si>
    <t>AGE</t>
  </si>
  <si>
    <t>AGE</t>
  </si>
  <si>
    <t>DE 20 A 29 ANS</t>
  </si>
  <si>
    <t>DE 20 A 29 ANS</t>
  </si>
  <si>
    <t>Moins de 30 ans :</t>
  </si>
  <si>
    <t>DE 30 A 44 ANS</t>
  </si>
  <si>
    <t>DE 30 A 44 ANS</t>
  </si>
  <si>
    <t>DE 45 A 59 ANS</t>
  </si>
  <si>
    <t>DE 45 A 59 ANS</t>
  </si>
  <si>
    <t>45-59 ans :</t>
  </si>
  <si>
    <t>DE 60 A 74 ANS</t>
  </si>
  <si>
    <t>DE 60 A 74 ANS</t>
  </si>
  <si>
    <t>60-74 ans :</t>
  </si>
  <si>
    <t>DE 75 A 89 ANS</t>
  </si>
  <si>
    <t>DE 75 A 89 ANS</t>
  </si>
  <si>
    <t>75-89 ans</t>
  </si>
  <si>
    <t>DE + 90 ANS</t>
  </si>
  <si>
    <t>DE + 90 ANS</t>
  </si>
  <si>
    <t>Plus de 90 ans :</t>
  </si>
  <si>
    <t>abs</t>
  </si>
  <si>
    <t>FEMMES</t>
  </si>
  <si>
    <t>DE 20 A 29 ANS</t>
  </si>
  <si>
    <t>FEMMES</t>
  </si>
  <si>
    <t>DE 20 A 29 ANS</t>
  </si>
  <si>
    <t>Femmes - de 30 ans :</t>
  </si>
  <si>
    <t>DE 30 A 44 ANS</t>
  </si>
  <si>
    <t>DE 30 A 44 ANS</t>
  </si>
  <si>
    <t>DE 45 A 59 ANS</t>
  </si>
  <si>
    <t>DE 45 A 59 ANS</t>
  </si>
  <si>
    <t>Femmes 45-59 ans :</t>
  </si>
  <si>
    <t>DE 60 A 74 ANS</t>
  </si>
  <si>
    <t>DE 60 A 74 ANS</t>
  </si>
  <si>
    <t>DE 75 A 89 ANS</t>
  </si>
  <si>
    <t>DE 75 A 89 ANS</t>
  </si>
  <si>
    <t>Femmes 75-89 ans :</t>
  </si>
  <si>
    <t>abs</t>
  </si>
  <si>
    <t>DE + 90 ANS</t>
  </si>
  <si>
    <t>DE + 90 ANS</t>
  </si>
  <si>
    <t>Femmes + 90 ans :</t>
  </si>
  <si>
    <t>abs</t>
  </si>
  <si>
    <t>HOMMES</t>
  </si>
  <si>
    <t>DE 20 A 29 ANS</t>
  </si>
  <si>
    <t>HOMMES</t>
  </si>
  <si>
    <t>DE 20 A 29 ANS</t>
  </si>
  <si>
    <t>Hommes - 30 ans :</t>
  </si>
  <si>
    <t>abs</t>
  </si>
  <si>
    <t>DE 30 A 44 ANS</t>
  </si>
  <si>
    <t>DE 30 A 44 ANS</t>
  </si>
  <si>
    <t>Hommes 30-44 ans :</t>
  </si>
  <si>
    <t>DE 45 A 59 ANS</t>
  </si>
  <si>
    <t>DE 45 A 59 ANS</t>
  </si>
  <si>
    <t>Hommes 45-59 ans :</t>
  </si>
  <si>
    <t>DE 60 A 74 ANS</t>
  </si>
  <si>
    <t>DE 60 A 74 ANS</t>
  </si>
  <si>
    <t>Hommes 60-74 ans :</t>
  </si>
  <si>
    <t>DE 75 A 89 ANS</t>
  </si>
  <si>
    <t>DE 75 A 89 ANS</t>
  </si>
  <si>
    <t>Hommes 75-89 ans :</t>
  </si>
  <si>
    <t>DE + 90 ANS</t>
  </si>
  <si>
    <t>DE + 90 ANS</t>
  </si>
  <si>
    <t>Moyenne d'âge des femmes :</t>
  </si>
  <si>
    <t>Moyenne d'âge des hommes :</t>
  </si>
  <si>
    <t>PCS</t>
  </si>
  <si>
    <t>PCS</t>
  </si>
  <si>
    <t>Agriculteurs exploitants</t>
  </si>
  <si>
    <t>Agriculteurs exploitants</t>
  </si>
  <si>
    <t>Agriculteurs</t>
  </si>
  <si>
    <t>abs</t>
  </si>
  <si>
    <t>Artisans, commerçants et chefs d'entreprise</t>
  </si>
  <si>
    <t>Artisans, commerçants et chefs d'entreprise</t>
  </si>
  <si>
    <t>Artisans, commerçants et chefs d'entreprise :</t>
  </si>
  <si>
    <t>Cadres et professions intellectuelles supérieures</t>
  </si>
  <si>
    <t>Cadres et professions intellectuelles supérieures</t>
  </si>
  <si>
    <t>Cadres et professions intellectuelles supérieures :</t>
  </si>
  <si>
    <t>Professions intermédiaires</t>
  </si>
  <si>
    <t>Professions intermédiaires</t>
  </si>
  <si>
    <t>Professions intermédiaires</t>
  </si>
  <si>
    <t>Employés</t>
  </si>
  <si>
    <t>Employés</t>
  </si>
  <si>
    <t>Employés :</t>
  </si>
  <si>
    <t>Ouvriers</t>
  </si>
  <si>
    <t>Ouvriers</t>
  </si>
  <si>
    <t>Ouvriers :</t>
  </si>
  <si>
    <t>abs</t>
  </si>
  <si>
    <t>Retraités</t>
  </si>
  <si>
    <t>Retraités</t>
  </si>
  <si>
    <t>Retraités</t>
  </si>
  <si>
    <t>Autres</t>
  </si>
  <si>
    <t>Autres</t>
  </si>
  <si>
    <t>Femmes</t>
  </si>
  <si>
    <t>Agriculteurs exploitants</t>
  </si>
  <si>
    <t>Femmes</t>
  </si>
  <si>
    <t>Agriculteurs exploitants</t>
  </si>
  <si>
    <t>Artisans, commerçants et chefs d'entreprise</t>
  </si>
  <si>
    <t>Artisans, commerçants et chefs d'entreprise</t>
  </si>
  <si>
    <t>Cadres et professions intellectuelles supérieures</t>
  </si>
  <si>
    <t>Cadres et professions intellectuelles supérieures</t>
  </si>
  <si>
    <t>Femmes CPIS : </t>
  </si>
  <si>
    <t>Professions intermédiaires</t>
  </si>
  <si>
    <t>Professions intermédiaires</t>
  </si>
  <si>
    <t>Femmes PI :</t>
  </si>
  <si>
    <t>Employés</t>
  </si>
  <si>
    <t>Employés</t>
  </si>
  <si>
    <t>Femmes employées :</t>
  </si>
  <si>
    <t>Ouvriers</t>
  </si>
  <si>
    <t>Ouvriers</t>
  </si>
  <si>
    <t>Femmes ouvrières :</t>
  </si>
  <si>
    <t>abs</t>
  </si>
  <si>
    <t>Retraités</t>
  </si>
  <si>
    <t>Retraités</t>
  </si>
  <si>
    <t>Femmes retraitées :</t>
  </si>
  <si>
    <t>abs</t>
  </si>
  <si>
    <t>Autres</t>
  </si>
  <si>
    <t>Autres</t>
  </si>
  <si>
    <t>Hommes</t>
  </si>
  <si>
    <t>Agriculteurs exploitants</t>
  </si>
  <si>
    <t>Hommes</t>
  </si>
  <si>
    <t>Agriculteurs exploitants</t>
  </si>
  <si>
    <t>Hommes agriculteurs :</t>
  </si>
  <si>
    <t>abs</t>
  </si>
  <si>
    <t>Artisans, commerçants et chefs d'entreprise</t>
  </si>
  <si>
    <t>Artisans, commerçants et chefs d'entreprise</t>
  </si>
  <si>
    <t>Hommes ACCE : </t>
  </si>
  <si>
    <t>Cadres et professions intellectuelles supérieures</t>
  </si>
  <si>
    <t>Cadres et professions intellectuelles supérieures</t>
  </si>
  <si>
    <t>Hommes CPIS :</t>
  </si>
  <si>
    <t>Professions intermédiaires</t>
  </si>
  <si>
    <t>Professions intermédiaires</t>
  </si>
  <si>
    <t>Hommes PI :</t>
  </si>
  <si>
    <t>Employés</t>
  </si>
  <si>
    <t>Employés</t>
  </si>
  <si>
    <t>Hommes employés :</t>
  </si>
  <si>
    <t>Ouvriers</t>
  </si>
  <si>
    <t>Ouvriers</t>
  </si>
  <si>
    <t>Hommes ouvriers :</t>
  </si>
  <si>
    <t>abs</t>
  </si>
  <si>
    <t>Retraités</t>
  </si>
  <si>
    <t>Retraités</t>
  </si>
  <si>
    <t>Hommes retraités :</t>
  </si>
  <si>
    <t>Autres</t>
  </si>
  <si>
    <t>Autres</t>
  </si>
  <si>
    <t>LISTES</t>
  </si>
  <si>
    <t>SIEGES</t>
  </si>
  <si>
    <t>LISTES</t>
  </si>
  <si>
    <t>SIEGES</t>
  </si>
  <si>
    <t>Listes</t>
  </si>
  <si>
    <t>Sièges gagnés</t>
  </si>
  <si>
    <t>Listes</t>
  </si>
  <si>
    <t>Sièges perdus</t>
  </si>
  <si>
    <t>M. Alain JUPPÉ (LUD)</t>
  </si>
  <si>
    <t>M. Alain JUPPÉ (LUD)</t>
  </si>
  <si>
    <t>M. Alain JUPPÉ (LUD = investiture UMP + UDI obligée) </t>
  </si>
  <si>
    <t>M. Vincent FELTESSE (LUG)</t>
  </si>
  <si>
    <t>M. Vincent FELTESSE (LUG)</t>
  </si>
  <si>
    <t>M. Vincent FELTESSE (LUG = investiture du PS obligée)</t>
  </si>
  <si>
    <t>M. Yves SIMONE (LDIV)</t>
  </si>
  <si>
    <t>M. Yves SIMONE (LDIV)</t>
  </si>
  <si>
    <t>M. Yves SIMONE (LDIV = sans étiquette)</t>
  </si>
  <si>
    <t>M. Vincent MAURIN (LFG)</t>
  </si>
  <si>
    <t>M. Vincent MAURIN (LFG)</t>
  </si>
  <si>
    <t>M. Vincent MAURIN (LFG)</t>
  </si>
  <si>
    <t>M. Jacques COLOMBIER (LFN)</t>
  </si>
  <si>
    <t>M. Jacques COLOMBIER (LFN)</t>
  </si>
  <si>
    <t>M. Jacques COLOMBIER (LFN)</t>
  </si>
  <si>
    <t>Mme Fanny QUANDALLE (LEXG)</t>
  </si>
  <si>
    <t>Mme Fanny QUANDALLE (LEXG)</t>
  </si>
  <si>
    <t>M. Philippe POUTOU (LEXG)</t>
  </si>
  <si>
    <t>M. Philippe POUTOU (LEXG)</t>
  </si>
  <si>
    <t>M. Philippe POUTOU (LEXG)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</si>
</sst>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"/>
    <numFmt numFmtId="165" formatCode="0.0000"/>
    <numFmt numFmtId="166" formatCode="0.000"/>
  </numFmts>
  <fonts count="114">
    <font>
      <sz val="10.0"/>
      <name val="Arial"/>
    </font>
    <font>
      <b/>
      <sz val="10.0"/>
      <name val="Arial"/>
    </font>
    <font>
      <b/>
      <sz val="10.0"/>
      <name val="Arial"/>
    </font>
    <font>
      <b/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/>
    <font/>
    <font>
      <b/>
      <sz val="19.0"/>
      <color rgb="FF333333"/>
    </font>
    <font>
      <b/>
    </font>
    <font>
      <b/>
    </font>
    <font/>
    <font/>
    <font>
      <sz val="11.0"/>
      <color rgb="FF333333"/>
    </font>
    <font>
      <b/>
    </font>
    <font/>
    <font/>
    <font/>
    <font/>
    <font>
      <b/>
    </font>
    <font>
      <b/>
    </font>
    <font>
      <b/>
    </font>
    <font/>
    <font/>
    <font/>
    <font/>
    <font/>
    <font/>
    <font/>
    <font>
      <sz val="11.0"/>
      <color rgb="FF333333"/>
    </font>
    <font/>
    <font>
      <b/>
      <sz val="11.0"/>
      <color rgb="FF800000"/>
      <name val="Arial"/>
    </font>
    <font>
      <b/>
      <sz val="10.0"/>
      <color rgb="FF333399"/>
      <name val="Arial"/>
    </font>
    <font>
      <sz val="8.0"/>
      <color rgb="FF333399"/>
      <name val="Arial"/>
    </font>
    <font>
      <i/>
      <sz val="8.0"/>
      <color rgb="FF000000"/>
      <name val="Arial"/>
    </font>
    <font>
      <sz val="8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sz val="8.0"/>
      <color rgb="FF000000"/>
      <name val="Arial"/>
    </font>
    <font>
      <sz val="8.0"/>
      <color rgb="FF00000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color rgb="FFFFFFFF"/>
      <name val="Arial"/>
    </font>
    <font>
      <sz val="10.0"/>
      <color rgb="FFFFFFFF"/>
      <name val="Arial"/>
    </font>
    <font>
      <sz val="10.0"/>
      <name val="Arial"/>
    </font>
    <font>
      <sz val="10.0"/>
      <name val="Arial"/>
    </font>
    <font>
      <sz val="10.0"/>
      <color rgb="FFFFFFFF"/>
      <name val="Arial"/>
    </font>
    <font>
      <sz val="10.0"/>
      <color rgb="FFFFFFFF"/>
      <name val="Arial"/>
    </font>
    <font>
      <sz val="10.0"/>
      <name val="Arial"/>
    </font>
    <font>
      <sz val="10.0"/>
      <name val="Arial"/>
    </font>
    <font/>
    <font>
      <sz val="10.0"/>
      <color rgb="FFFF0000"/>
      <name val="Arial"/>
    </font>
    <font>
      <sz val="10.0"/>
      <color rgb="FFFF000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color rgb="FFFF000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0.0"/>
      <name val="Arial"/>
    </font>
    <font>
      <sz val="11.0"/>
    </font>
    <font>
      <sz val="11.0"/>
    </font>
    <font>
      <sz val="10.0"/>
    </font>
    <font>
      <sz val="10.0"/>
    </font>
    <font>
      <sz val="10.0"/>
      <name val="Arial"/>
    </font>
    <font>
      <sz val="10.0"/>
      <name val="Arial"/>
    </font>
    <font/>
    <font>
      <sz val="10.0"/>
    </font>
    <font>
      <sz val="10.0"/>
      <color rgb="FFFF0000"/>
      <name val="Arial"/>
    </font>
    <font>
      <sz val="10.0"/>
      <color rgb="FFFF0000"/>
      <name val="Arial"/>
    </font>
    <font>
      <sz val="10.0"/>
      <name val="Arial"/>
    </font>
    <font>
      <sz val="10.0"/>
      <name val="Arial"/>
    </font>
    <font>
      <sz val="10.0"/>
    </font>
    <font>
      <sz val="10.0"/>
      <name val="Arial"/>
    </font>
    <font>
      <sz val="10.0"/>
      <name val="Arial"/>
    </font>
    <font>
      <sz val="10.0"/>
      <name val="Arial"/>
    </font>
  </fonts>
  <fills count="13">
    <fill>
      <patternFill patternType="none"/>
    </fill>
    <fill>
      <patternFill patternType="lightGray"/>
    </fill>
    <fill>
      <patternFill patternType="none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9FF33"/>
        <bgColor rgb="FF99FF33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00FFFF"/>
        <bgColor rgb="FF00FFFF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</fills>
  <borders count="86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DDDDD"/>
      </left>
      <right/>
      <top/>
      <bottom/>
    </border>
    <border>
      <left style="thin">
        <color rgb="FFDDDDDD"/>
      </left>
      <right/>
      <top/>
      <bottom/>
    </border>
    <border>
      <left style="thin">
        <color rgb="FFDDDDDD"/>
      </left>
      <right/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/>
    </border>
    <border>
      <left style="thin">
        <color rgb="FFDDDDDD"/>
      </left>
      <right/>
      <top/>
      <bottom/>
    </border>
    <border>
      <left style="thin">
        <color rgb="FFDDDDDD"/>
      </left>
      <right/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/>
    </border>
    <border>
      <left style="thin">
        <color rgb="FFDDDDDD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DDDDD"/>
      </left>
      <right/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/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114">
    <xf fillId="0" numFmtId="0" borderId="0" fontId="0"/>
    <xf applyAlignment="1" fillId="2" xfId="0" numFmtId="0" borderId="1" applyFont="1" fontId="1">
      <alignment vertical="center" horizontal="center" wrapText="1"/>
    </xf>
    <xf applyAlignment="1" fillId="2" xfId="0" numFmtId="0" borderId="1" applyFont="1" fontId="2">
      <alignment vertical="center" horizontal="center" wrapText="1"/>
    </xf>
    <xf applyAlignment="1" fillId="2" xfId="0" numFmtId="2" borderId="1" applyFont="1" fontId="3" applyNumberFormat="1">
      <alignment vertical="center" horizontal="center" wrapText="1"/>
    </xf>
    <xf applyAlignment="1" fillId="2" xfId="0" numFmtId="0" borderId="1" applyFont="1" fontId="4">
      <alignment/>
    </xf>
    <xf fillId="2" xfId="0" numFmtId="0" borderId="1" applyFont="1" fontId="5"/>
    <xf applyAlignment="1" fillId="2" xfId="0" numFmtId="0" borderId="1" applyFont="1" fontId="6">
      <alignment horizontal="center"/>
    </xf>
    <xf applyAlignment="1" fillId="2" xfId="0" numFmtId="0" borderId="1" applyFont="1" fontId="7">
      <alignment horizontal="center"/>
    </xf>
    <xf applyAlignment="1" fillId="2" xfId="0" numFmtId="14" borderId="1" applyFont="1" fontId="8" applyNumberFormat="1">
      <alignment/>
    </xf>
    <xf applyAlignment="1" fillId="2" xfId="0" numFmtId="1" borderId="1" applyFont="1" fontId="9" applyNumberFormat="1">
      <alignment horizontal="center"/>
    </xf>
    <xf applyBorder="1" applyAlignment="1" fillId="3" xfId="0" numFmtId="0" borderId="2" applyFont="1" fontId="10" applyFill="1">
      <alignment horizontal="center"/>
    </xf>
    <xf applyBorder="1" applyAlignment="1" fillId="4" xfId="0" numFmtId="0" borderId="3" applyFont="1" fontId="11" applyFill="1">
      <alignment horizontal="center"/>
    </xf>
    <xf applyBorder="1" applyAlignment="1" fillId="5" xfId="0" numFmtId="0" borderId="4" applyFont="1" fontId="12" applyFill="1">
      <alignment horizontal="center"/>
    </xf>
    <xf applyBorder="1" fillId="5" xfId="0" numFmtId="0" borderId="5" applyFont="1" fontId="13"/>
    <xf applyBorder="1" applyAlignment="1" fillId="6" xfId="0" numFmtId="0" borderId="6" applyFont="1" fontId="14" applyFill="1">
      <alignment horizontal="center"/>
    </xf>
    <xf applyBorder="1" fillId="3" xfId="0" numFmtId="0" borderId="7" applyFont="1" fontId="15"/>
    <xf applyBorder="1" fillId="4" xfId="0" numFmtId="0" borderId="8" applyFont="1" fontId="16"/>
    <xf applyBorder="1" fillId="4" xfId="0" numFmtId="1" borderId="9" applyFont="1" fontId="17" applyNumberFormat="1"/>
    <xf applyBorder="1" applyAlignment="1" fillId="5" xfId="0" numFmtId="0" borderId="10" applyFont="1" fontId="18">
      <alignment horizontal="center"/>
    </xf>
    <xf applyBorder="1" fillId="6" xfId="0" numFmtId="0" borderId="11" applyFont="1" fontId="19"/>
    <xf applyBorder="1" applyAlignment="1" fillId="5" xfId="0" numFmtId="0" borderId="12" applyFont="1" fontId="20">
      <alignment wrapText="1"/>
    </xf>
    <xf applyBorder="1" applyAlignment="1" fillId="6" xfId="0" numFmtId="0" borderId="13" applyFont="1" fontId="21">
      <alignment horizontal="center"/>
    </xf>
    <xf applyBorder="1" applyAlignment="1" fillId="3" xfId="0" numFmtId="0" borderId="14" applyFont="1" fontId="22">
      <alignment/>
    </xf>
    <xf applyBorder="1" applyAlignment="1" fillId="4" xfId="0" numFmtId="0" borderId="15" applyFont="1" fontId="23">
      <alignment vertical="center"/>
    </xf>
    <xf applyBorder="1" applyAlignment="1" fillId="4" xfId="0" numFmtId="1" borderId="16" applyFont="1" fontId="24" applyNumberFormat="1">
      <alignment vertical="center" horizontal="center"/>
    </xf>
    <xf applyBorder="1" applyAlignment="1" fillId="4" xfId="0" numFmtId="0" borderId="17" applyFont="1" fontId="25">
      <alignment vertical="center"/>
    </xf>
    <xf applyBorder="1" applyAlignment="1" fillId="5" xfId="0" numFmtId="0" borderId="18" applyFont="1" fontId="26">
      <alignment vertical="center" horizontal="left" wrapText="1"/>
    </xf>
    <xf applyBorder="1" applyAlignment="1" fillId="5" xfId="0" numFmtId="0" borderId="19" applyFont="1" fontId="27">
      <alignment horizontal="center" wrapText="1"/>
    </xf>
    <xf applyBorder="1" applyAlignment="1" fillId="4" xfId="0" numFmtId="0" borderId="20" applyFont="1" fontId="28">
      <alignment vertical="center"/>
    </xf>
    <xf applyBorder="1" applyAlignment="1" fillId="4" xfId="0" numFmtId="0" borderId="21" applyFont="1" fontId="29">
      <alignment vertical="center"/>
    </xf>
    <xf applyBorder="1" applyAlignment="1" fillId="4" xfId="0" numFmtId="1" borderId="22" applyFont="1" fontId="30" applyNumberFormat="1">
      <alignment vertical="center" horizontal="center"/>
    </xf>
    <xf applyBorder="1" applyAlignment="1" fillId="4" xfId="0" numFmtId="0" borderId="23" applyFont="1" fontId="31">
      <alignment vertical="center" horizontal="center"/>
    </xf>
    <xf fillId="2" xfId="0" numFmtId="14" borderId="1" applyFont="1" fontId="32" applyNumberFormat="1"/>
    <xf applyAlignment="1" fillId="2" xfId="0" numFmtId="2" borderId="1" applyFont="1" fontId="33" applyNumberFormat="1">
      <alignment horizontal="center"/>
    </xf>
    <xf applyAlignment="1" fillId="2" xfId="0" numFmtId="0" borderId="1" applyFont="1" fontId="34">
      <alignment wrapText="1"/>
    </xf>
    <xf applyAlignment="1" fillId="2" xfId="0" numFmtId="0" borderId="1" applyFont="1" fontId="35">
      <alignment horizontal="center" wrapText="1"/>
    </xf>
    <xf applyAlignment="1" fillId="7" xfId="0" numFmtId="0" borderId="1" applyFont="1" fontId="36" applyFill="1">
      <alignment horizontal="center" wrapText="1"/>
    </xf>
    <xf applyBorder="1" applyAlignment="1" fillId="2" xfId="0" numFmtId="0" borderId="24" applyFont="1" fontId="37">
      <alignment horizontal="left" wrapText="1"/>
    </xf>
    <xf applyBorder="1" applyAlignment="1" fillId="2" xfId="0" numFmtId="0" borderId="25" applyFont="1" fontId="38">
      <alignment horizontal="center" wrapText="1"/>
    </xf>
    <xf applyBorder="1" applyAlignment="1" fillId="2" xfId="0" numFmtId="0" borderId="26" applyFont="1" fontId="39">
      <alignment horizontal="left" wrapText="1"/>
    </xf>
    <xf applyBorder="1" applyAlignment="1" fillId="2" xfId="0" numFmtId="0" borderId="27" applyFont="1" fontId="40">
      <alignment horizontal="center" wrapText="1"/>
    </xf>
    <xf applyAlignment="1" fillId="7" xfId="0" numFmtId="0" borderId="1" applyFont="1" fontId="41">
      <alignment horizontal="center" wrapText="1"/>
    </xf>
    <xf applyBorder="1" applyAlignment="1" fillId="2" xfId="0" numFmtId="0" borderId="28" applyFont="1" fontId="42">
      <alignment horizontal="left" wrapText="1"/>
    </xf>
    <xf applyBorder="1" applyAlignment="1" fillId="8" xfId="0" numFmtId="0" borderId="29" applyFont="1" fontId="43" applyFill="1">
      <alignment horizontal="left" wrapText="1"/>
    </xf>
    <xf applyBorder="1" applyAlignment="1" fillId="8" xfId="0" numFmtId="0" borderId="30" applyFont="1" fontId="44">
      <alignment horizontal="center" wrapText="1"/>
    </xf>
    <xf applyBorder="1" applyAlignment="1" fillId="2" xfId="0" numFmtId="0" borderId="31" applyFont="1" fontId="45">
      <alignment horizontal="center" wrapText="1"/>
    </xf>
    <xf applyBorder="1" applyAlignment="1" fillId="8" xfId="0" numFmtId="0" borderId="32" applyFont="1" fontId="46">
      <alignment horizontal="center" wrapText="1"/>
    </xf>
    <xf applyBorder="1" applyAlignment="1" fillId="9" xfId="0" numFmtId="0" borderId="33" applyFont="1" fontId="47" applyFill="1">
      <alignment horizontal="center" wrapText="1"/>
    </xf>
    <xf applyBorder="1" applyAlignment="1" fillId="9" xfId="0" numFmtId="0" borderId="34" applyFont="1" fontId="48">
      <alignment horizontal="center" wrapText="1"/>
    </xf>
    <xf applyAlignment="1" fillId="2" xfId="0" numFmtId="0" borderId="1" applyFont="1" fontId="49">
      <alignment horizontal="center" wrapText="1"/>
    </xf>
    <xf applyBorder="1" applyAlignment="1" fillId="9" xfId="0" numFmtId="0" borderId="35" applyFont="1" fontId="50">
      <alignment horizontal="left" wrapText="1"/>
    </xf>
    <xf applyBorder="1" applyAlignment="1" fillId="2" xfId="0" numFmtId="0" borderId="36" applyFont="1" fontId="51">
      <alignment horizontal="right" wrapText="1"/>
    </xf>
    <xf applyBorder="1" applyAlignment="1" fillId="2" xfId="0" numFmtId="4" borderId="37" applyFont="1" fontId="52" applyNumberFormat="1">
      <alignment horizontal="center" wrapText="1"/>
    </xf>
    <xf applyBorder="1" applyAlignment="1" fillId="9" xfId="0" numFmtId="164" borderId="38" applyFont="1" fontId="53" applyNumberFormat="1">
      <alignment horizontal="center" wrapText="1"/>
    </xf>
    <xf applyBorder="1" applyAlignment="1" fillId="9" xfId="0" numFmtId="0" borderId="39" applyFont="1" fontId="54">
      <alignment horizontal="center" wrapText="1"/>
    </xf>
    <xf applyBorder="1" applyAlignment="1" fillId="2" xfId="0" numFmtId="0" borderId="40" applyFont="1" fontId="55">
      <alignment horizontal="center" wrapText="1"/>
    </xf>
    <xf applyAlignment="1" fillId="2" xfId="0" numFmtId="165" borderId="1" applyFont="1" fontId="56" applyNumberFormat="1">
      <alignment wrapText="1"/>
    </xf>
    <xf applyAlignment="1" fillId="7" xfId="0" numFmtId="0" borderId="1" applyFont="1" fontId="57">
      <alignment horizontal="center" wrapText="1"/>
    </xf>
    <xf applyBorder="1" applyAlignment="1" fillId="2" xfId="0" numFmtId="3" borderId="41" applyFont="1" fontId="58" applyNumberFormat="1">
      <alignment horizontal="right" wrapText="1"/>
    </xf>
    <xf applyAlignment="1" fillId="2" xfId="0" numFmtId="49" borderId="1" applyFont="1" fontId="59" applyNumberFormat="1">
      <alignment horizontal="center"/>
    </xf>
    <xf applyAlignment="1" fillId="2" xfId="0" numFmtId="49" borderId="1" applyFont="1" fontId="60" applyNumberFormat="1">
      <alignment horizontal="center"/>
    </xf>
    <xf applyAlignment="1" fillId="2" xfId="0" numFmtId="49" borderId="1" applyFont="1" fontId="61" applyNumberFormat="1">
      <alignment horizontal="center"/>
    </xf>
    <xf applyAlignment="1" fillId="2" xfId="0" numFmtId="49" borderId="1" applyFont="1" fontId="62" applyNumberFormat="1">
      <alignment horizontal="center"/>
    </xf>
    <xf applyBorder="1" applyAlignment="1" fillId="10" xfId="0" numFmtId="49" borderId="42" applyFont="1" fontId="63" applyNumberFormat="1" applyFill="1">
      <alignment vertical="center" horizontal="center" wrapText="1"/>
    </xf>
    <xf applyBorder="1" applyAlignment="1" fillId="11" xfId="0" numFmtId="49" borderId="43" applyFont="1" fontId="64" applyNumberFormat="1" applyFill="1">
      <alignment vertical="center" horizontal="center"/>
    </xf>
    <xf fillId="2" xfId="0" numFmtId="49" borderId="1" applyFont="1" fontId="65" applyNumberFormat="1"/>
    <xf applyAlignment="1" fillId="2" xfId="0" numFmtId="1" borderId="1" applyFont="1" fontId="66" applyNumberFormat="1">
      <alignment/>
    </xf>
    <xf fillId="2" xfId="0" numFmtId="1" borderId="1" applyFont="1" fontId="67" applyNumberFormat="1"/>
    <xf fillId="2" xfId="0" numFmtId="1" borderId="1" applyFont="1" fontId="68" applyNumberFormat="1"/>
    <xf applyBorder="1" applyAlignment="1" fillId="5" xfId="0" numFmtId="0" borderId="44" applyFont="1" fontId="69">
      <alignment horizontal="center"/>
    </xf>
    <xf applyBorder="1" fillId="3" xfId="0" numFmtId="1" borderId="45" applyFont="1" fontId="70" applyNumberFormat="1"/>
    <xf applyBorder="1" fillId="5" xfId="0" numFmtId="166" borderId="46" applyFont="1" fontId="71" applyNumberFormat="1"/>
    <xf applyBorder="1" applyAlignment="1" fillId="4" xfId="0" numFmtId="0" borderId="47" applyFont="1" fontId="72">
      <alignment vertical="center" horizontal="center"/>
    </xf>
    <xf applyBorder="1" applyAlignment="1" fillId="5" xfId="0" numFmtId="0" borderId="48" applyFont="1" fontId="73">
      <alignment vertical="center" horizontal="left" wrapText="1"/>
    </xf>
    <xf applyBorder="1" applyAlignment="1" fillId="5" xfId="0" numFmtId="1" borderId="49" applyFont="1" fontId="74" applyNumberFormat="1">
      <alignment horizontal="center" wrapText="1"/>
    </xf>
    <xf applyBorder="1" applyAlignment="1" fillId="12" xfId="0" numFmtId="0" borderId="50" applyFont="1" fontId="75" applyFill="1">
      <alignment vertical="center" horizontal="center" wrapText="1"/>
    </xf>
    <xf applyBorder="1" applyAlignment="1" fillId="12" xfId="0" numFmtId="0" borderId="51" applyFont="1" fontId="76">
      <alignment vertical="center" horizontal="center" wrapText="1"/>
    </xf>
    <xf applyBorder="1" fillId="2" xfId="0" numFmtId="0" borderId="52" applyFont="1" fontId="77"/>
    <xf applyBorder="1" fillId="2" xfId="0" numFmtId="2" borderId="53" applyFont="1" fontId="78" applyNumberFormat="1"/>
    <xf applyBorder="1" applyAlignment="1" fillId="12" xfId="0" numFmtId="0" borderId="54" applyFont="1" fontId="79">
      <alignment vertical="center" horizontal="center" wrapText="1"/>
    </xf>
    <xf applyBorder="1" applyAlignment="1" fillId="12" xfId="0" numFmtId="0" borderId="55" applyFont="1" fontId="80">
      <alignment horizontal="center"/>
    </xf>
    <xf applyBorder="1" applyAlignment="1" fillId="3" xfId="0" numFmtId="1" borderId="56" applyFont="1" fontId="81" applyNumberFormat="1">
      <alignment/>
    </xf>
    <xf applyBorder="1" applyAlignment="1" fillId="4" xfId="0" numFmtId="1" borderId="57" applyFont="1" fontId="82" applyNumberFormat="1">
      <alignment/>
    </xf>
    <xf applyAlignment="1" fillId="2" xfId="0" numFmtId="1" borderId="1" applyFont="1" fontId="83" applyNumberFormat="1">
      <alignment wrapText="1"/>
    </xf>
    <xf applyBorder="1" fillId="2" xfId="0" numFmtId="0" borderId="58" applyFont="1" fontId="84"/>
    <xf applyBorder="1" fillId="2" xfId="0" numFmtId="2" borderId="59" applyFont="1" fontId="85" applyNumberFormat="1"/>
    <xf applyBorder="1" applyAlignment="1" fillId="4" xfId="0" numFmtId="1" borderId="60" applyFont="1" fontId="86" applyNumberFormat="1">
      <alignment vertical="center" horizontal="center"/>
    </xf>
    <xf applyBorder="1" applyAlignment="1" fillId="4" xfId="0" numFmtId="1" borderId="61" applyFont="1" fontId="87" applyNumberFormat="1">
      <alignment vertical="center" horizontal="center"/>
    </xf>
    <xf applyBorder="1" applyAlignment="1" fillId="4" xfId="0" numFmtId="0" borderId="62" applyFont="1" fontId="88">
      <alignment vertical="center" horizontal="center"/>
    </xf>
    <xf applyBorder="1" applyAlignment="1" fillId="4" xfId="0" numFmtId="0" borderId="63" applyFont="1" fontId="89">
      <alignment vertical="center"/>
    </xf>
    <xf applyBorder="1" applyAlignment="1" fillId="5" xfId="0" numFmtId="1" borderId="64" applyFont="1" fontId="90" applyNumberFormat="1">
      <alignment/>
    </xf>
    <xf applyBorder="1" applyAlignment="1" fillId="2" xfId="0" numFmtId="0" borderId="65" applyFont="1" fontId="91">
      <alignment wrapText="1"/>
    </xf>
    <xf applyBorder="1" applyAlignment="1" fillId="2" xfId="0" numFmtId="0" borderId="66" applyFont="1" fontId="92">
      <alignment wrapText="1"/>
    </xf>
    <xf applyBorder="1" applyAlignment="1" fillId="5" xfId="0" numFmtId="0" borderId="67" applyFont="1" fontId="93">
      <alignment vertical="center" horizontal="center" wrapText="1"/>
    </xf>
    <xf applyBorder="1" applyAlignment="1" fillId="5" xfId="0" numFmtId="0" borderId="68" applyFont="1" fontId="94">
      <alignment horizontal="center" wrapText="1"/>
    </xf>
    <xf applyBorder="1" applyAlignment="1" fillId="5" xfId="0" numFmtId="1" borderId="69" applyFont="1" fontId="95" applyNumberFormat="1">
      <alignment horizontal="center" wrapText="1"/>
    </xf>
    <xf applyBorder="1" applyAlignment="1" fillId="5" xfId="0" numFmtId="0" borderId="70" applyFont="1" fontId="96">
      <alignment vertical="center" horizontal="center" wrapText="1"/>
    </xf>
    <xf applyBorder="1" fillId="2" xfId="0" numFmtId="2" borderId="71" applyFont="1" fontId="97" applyNumberFormat="1"/>
    <xf applyBorder="1" applyAlignment="1" fillId="9" xfId="0" numFmtId="0" borderId="72" applyFont="1" fontId="98">
      <alignment horizontal="center"/>
    </xf>
    <xf applyBorder="1" applyAlignment="1" fillId="9" xfId="0" numFmtId="0" borderId="73" applyFont="1" fontId="99">
      <alignment horizontal="center"/>
    </xf>
    <xf applyAlignment="1" fillId="2" xfId="0" numFmtId="0" borderId="1" applyFont="1" fontId="100">
      <alignment wrapText="1"/>
    </xf>
    <xf applyBorder="1" applyAlignment="1" fillId="2" xfId="0" numFmtId="0" borderId="74" applyFont="1" fontId="101">
      <alignment wrapText="1"/>
    </xf>
    <xf applyBorder="1" applyAlignment="1" fillId="2" xfId="0" numFmtId="0" borderId="75" applyFont="1" fontId="102">
      <alignment/>
    </xf>
    <xf applyBorder="1" applyAlignment="1" fillId="2" xfId="0" numFmtId="2" borderId="76" applyFont="1" fontId="103" applyNumberFormat="1">
      <alignment/>
    </xf>
    <xf applyBorder="1" applyAlignment="1" fillId="9" xfId="0" numFmtId="0" borderId="77" applyFont="1" fontId="104">
      <alignment horizontal="left" wrapText="1"/>
    </xf>
    <xf applyBorder="1" applyAlignment="1" fillId="9" xfId="0" numFmtId="0" borderId="78" applyFont="1" fontId="105">
      <alignment horizontal="center" wrapText="1"/>
    </xf>
    <xf applyBorder="1" applyAlignment="1" fillId="2" xfId="0" numFmtId="2" borderId="79" applyFont="1" fontId="106" applyNumberFormat="1">
      <alignment wrapText="1"/>
    </xf>
    <xf applyBorder="1" fillId="2" xfId="0" numFmtId="1" borderId="80" applyFont="1" fontId="107" applyNumberFormat="1"/>
    <xf applyBorder="1" applyAlignment="1" fillId="2" xfId="0" numFmtId="2" borderId="81" applyFont="1" fontId="108" applyNumberFormat="1">
      <alignment wrapText="1"/>
    </xf>
    <xf applyBorder="1" fillId="2" xfId="0" numFmtId="1" borderId="82" applyFont="1" fontId="109" applyNumberFormat="1"/>
    <xf applyBorder="1" applyAlignment="1" fillId="9" xfId="0" numFmtId="0" borderId="83" applyFont="1" fontId="110">
      <alignment horizontal="center" wrapText="1"/>
    </xf>
    <xf applyBorder="1" fillId="2" xfId="0" numFmtId="0" borderId="84" applyFont="1" fontId="111"/>
    <xf applyBorder="1" fillId="2" xfId="0" numFmtId="2" borderId="85" applyFont="1" fontId="112" applyNumberFormat="1"/>
    <xf fillId="2" xfId="0" numFmtId="2" borderId="1" applyFont="1" fontId="113" applyNumberFormat="1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drawing4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B3" activeCell="B3" pane="bottomLeft"/>
    </sheetView>
  </sheetViews>
  <sheetFormatPr customHeight="1" defaultColWidth="17.29" defaultRowHeight="15.75"/>
  <cols>
    <col min="1" customWidth="1" max="1" width="4.71"/>
    <col min="2" customWidth="1" max="2" width="9.29"/>
    <col min="3" customWidth="1" max="3" width="10.57"/>
    <col min="4" customWidth="1" max="4" width="6.0"/>
    <col min="5" customWidth="1" max="5" width="17.0"/>
    <col min="6" customWidth="1" max="6" width="15.57"/>
    <col min="7" customWidth="1" max="7" width="9.71"/>
    <col min="8" customWidth="1" max="8" width="7.29"/>
    <col min="9" customWidth="1" max="9" width="10.14"/>
    <col min="10" customWidth="1" max="10" width="4.86"/>
    <col min="11" customWidth="1" max="11" width="30.71"/>
    <col min="12" customWidth="1" max="12" width="10.57"/>
    <col min="13" customWidth="1" max="13" width="4.71"/>
    <col min="14" customWidth="1" max="15" width="5.29"/>
    <col min="16" customWidth="1" max="16" width="22.29"/>
    <col min="17" customWidth="1" max="17" width="3.0"/>
    <col min="18" customWidth="1" max="18" width="5.29"/>
    <col min="19" customWidth="1" max="19" width="28.14"/>
    <col min="20" customWidth="1" max="20" width="15.0"/>
    <col min="21" customWidth="1" max="22" width="5.29"/>
    <col min="23" customWidth="1" max="24" width="41.0"/>
    <col min="25" customWidth="1" max="25" width="3.0"/>
    <col min="26" customWidth="1" max="26" width="5.29"/>
    <col min="27" customWidth="1" max="27" width="12.71"/>
    <col min="28" customWidth="1" max="28" width="3.0"/>
  </cols>
  <sheetData>
    <row customHeight="1" r="1" ht="12.75">
      <c t="s" s="1" r="A1">
        <v>0</v>
      </c>
      <c t="s" s="1" r="B1">
        <v>1</v>
      </c>
      <c t="s" s="1" r="C1">
        <v>2</v>
      </c>
      <c t="s" s="1" r="D1">
        <v>3</v>
      </c>
      <c t="s" s="1" r="E1">
        <v>4</v>
      </c>
      <c t="s" s="1" r="F1">
        <v>5</v>
      </c>
      <c t="s" s="2" r="G1">
        <v>6</v>
      </c>
      <c t="s" s="1" r="H1">
        <v>7</v>
      </c>
      <c t="s" s="1" r="I1">
        <v>8</v>
      </c>
      <c t="s" s="3" r="J1">
        <v>9</v>
      </c>
      <c t="s" s="1" r="K1">
        <v>10</v>
      </c>
      <c t="s" s="1" r="L1">
        <v>11</v>
      </c>
      <c t="s" s="1" r="M1">
        <v>12</v>
      </c>
      <c s="1" r="N1"/>
      <c s="1" r="O1"/>
      <c s="1" r="P1"/>
      <c s="1" r="Q1"/>
      <c s="1" r="R1"/>
      <c s="1" r="S1"/>
      <c s="1" r="T1"/>
      <c s="1" r="U1"/>
      <c s="1" r="V1"/>
      <c s="1" r="W1"/>
      <c s="1" r="X1"/>
      <c s="1" r="Y1"/>
      <c s="1" r="Z1"/>
      <c s="1" r="AA1"/>
      <c s="1" r="AB1"/>
    </row>
    <row customHeight="1" r="2" ht="12.75">
      <c s="4" r="A2">
        <v>33.0</v>
      </c>
      <c s="4" r="B2">
        <v>63.0</v>
      </c>
      <c t="s" s="5" r="C2">
        <v>13</v>
      </c>
      <c s="6" r="D2">
        <v>1.0</v>
      </c>
      <c t="s" s="5" r="E2">
        <v>14</v>
      </c>
      <c t="s" s="5" r="F2">
        <v>15</v>
      </c>
      <c s="5" r="G2"/>
      <c t="s" s="7" r="H2">
        <v>16</v>
      </c>
      <c s="8" r="I2">
        <v>24597.0</v>
      </c>
      <c t="str" s="9" r="J2">
        <f>2014-1967</f>
        <v>47</v>
      </c>
      <c t="s" s="5" r="K2">
        <v>17</v>
      </c>
      <c s="6" r="L2">
        <v>3.0</v>
      </c>
      <c t="s" s="7" r="M2">
        <v>18</v>
      </c>
      <c s="5" r="N2"/>
      <c s="5" r="O2"/>
      <c t="s" s="10" r="P2">
        <v>19</v>
      </c>
      <c s="5" r="R2"/>
      <c t="s" s="11" r="S2">
        <v>20</v>
      </c>
      <c s="5" r="U2"/>
      <c s="5" r="V2"/>
      <c t="s" s="12" r="W2">
        <v>21</v>
      </c>
      <c t="s" s="13" r="X2">
        <v>22</v>
      </c>
      <c s="12" r="Y2"/>
      <c s="5" r="Z2"/>
      <c t="s" s="14" r="AA2">
        <v>23</v>
      </c>
    </row>
    <row customHeight="1" r="3" ht="12.75">
      <c s="4" r="A3">
        <v>33.0</v>
      </c>
      <c s="4" r="B3">
        <v>63.0</v>
      </c>
      <c t="s" s="5" r="C3">
        <v>24</v>
      </c>
      <c s="6" r="D3">
        <v>1.0</v>
      </c>
      <c t="s" s="5" r="E3">
        <v>25</v>
      </c>
      <c t="s" s="5" r="F3">
        <v>26</v>
      </c>
      <c s="5" r="G3"/>
      <c t="s" s="7" r="H3">
        <v>27</v>
      </c>
      <c s="8" r="I3">
        <v>26100.0</v>
      </c>
      <c t="str" s="9" r="J3">
        <f>2014-1971</f>
        <v>43</v>
      </c>
      <c t="s" s="5" r="K3">
        <v>28</v>
      </c>
      <c s="6" r="L3">
        <v>3.0</v>
      </c>
      <c t="s" s="7" r="M3">
        <v>29</v>
      </c>
      <c s="5" r="N3"/>
      <c s="5" r="O3"/>
      <c t="s" s="15" r="P3">
        <v>30</v>
      </c>
      <c t="str" s="15" r="Q3">
        <f>SUMIF(H2:H62,"F",D2:D62)</f>
        <v>30</v>
      </c>
      <c s="5" r="R3"/>
      <c t="s" s="16" r="S3">
        <v>31</v>
      </c>
      <c t="str" s="17" r="T3">
        <f>SUMIF(J2:J62,"&lt;30",D2:D62)</f>
        <v>3</v>
      </c>
      <c s="5" r="U3"/>
      <c s="5" r="V3"/>
      <c s="18" r="W3">
        <v>1.0</v>
      </c>
      <c t="s" s="13" r="X3">
        <v>32</v>
      </c>
      <c t="str" s="12" r="Y3">
        <f>SUMIF(L2:L62,1,D2:D62)</f>
        <v>1</v>
      </c>
      <c s="5" r="Z3"/>
      <c t="s" s="19" r="AA3">
        <v>33</v>
      </c>
      <c t="str" s="14" r="AB3">
        <f>SUMIF(M2:M62,"F",D2:D62)</f>
        <v>60</v>
      </c>
    </row>
    <row customHeight="1" r="4" ht="12.75">
      <c s="4" r="A4">
        <v>33.0</v>
      </c>
      <c s="4" r="B4">
        <v>63.0</v>
      </c>
      <c t="s" s="5" r="C4">
        <v>34</v>
      </c>
      <c s="6" r="D4">
        <v>1.0</v>
      </c>
      <c t="s" s="5" r="E4">
        <v>35</v>
      </c>
      <c t="s" s="5" r="F4">
        <v>36</v>
      </c>
      <c s="5" r="G4"/>
      <c t="s" s="7" r="H4">
        <v>37</v>
      </c>
      <c s="8" r="I4">
        <v>20360.0</v>
      </c>
      <c t="str" s="9" r="J4">
        <f>2014-1955</f>
        <v>59</v>
      </c>
      <c t="s" s="5" r="K4">
        <v>38</v>
      </c>
      <c s="6" r="L4">
        <v>3.0</v>
      </c>
      <c t="s" s="7" r="M4">
        <v>39</v>
      </c>
      <c s="5" r="N4"/>
      <c s="5" r="O4"/>
      <c t="s" s="15" r="P4">
        <v>40</v>
      </c>
      <c t="str" s="15" r="Q4">
        <f>SUMIF(H2:H62,"M",D2:D62)</f>
        <v>31</v>
      </c>
      <c s="5" r="R4"/>
      <c t="s" s="16" r="S4">
        <v>41</v>
      </c>
      <c t="str" s="17" r="T4">
        <f>SUMIF(J2:J62,"&lt;45",D2:D62)-T3</f>
        <v>16</v>
      </c>
      <c s="5" r="U4"/>
      <c s="5" r="V4"/>
      <c s="18" r="W4">
        <v>2.0</v>
      </c>
      <c t="s" s="20" r="X4">
        <v>42</v>
      </c>
      <c t="str" s="12" r="Y4">
        <f>SUMIF(L2:L62,2,D2:D62)</f>
        <v>10</v>
      </c>
      <c s="5" r="Z4"/>
      <c t="s" s="19" r="AA4">
        <v>43</v>
      </c>
      <c t="str" s="14" r="AB4">
        <f>SUMIF(M2:M62,"P",D2:D62)</f>
        <v>1</v>
      </c>
    </row>
    <row customHeight="1" r="5" ht="12.75">
      <c s="4" r="A5">
        <v>33.0</v>
      </c>
      <c s="4" r="B5">
        <v>63.0</v>
      </c>
      <c t="s" s="5" r="C5">
        <v>44</v>
      </c>
      <c s="6" r="D5">
        <v>1.0</v>
      </c>
      <c t="s" s="5" r="E5">
        <v>45</v>
      </c>
      <c t="s" s="5" r="F5">
        <v>46</v>
      </c>
      <c s="5" r="G5"/>
      <c t="s" s="7" r="H5">
        <v>47</v>
      </c>
      <c s="8" r="I5">
        <v>24254.0</v>
      </c>
      <c t="str" s="9" r="J5">
        <f>2014-1966</f>
        <v>48</v>
      </c>
      <c t="s" s="5" r="K5">
        <v>48</v>
      </c>
      <c s="6" r="L5">
        <v>8.0</v>
      </c>
      <c t="s" s="7" r="M5">
        <v>49</v>
      </c>
      <c s="5" r="N5"/>
      <c s="5" r="O5"/>
      <c s="5" r="P5"/>
      <c s="5" r="Q5"/>
      <c s="5" r="R5"/>
      <c t="s" s="16" r="S5">
        <v>50</v>
      </c>
      <c t="str" s="17" r="T5">
        <f>SUMIF(J2:J62,"&lt;60",D2:D62)-T4-T3</f>
        <v>26</v>
      </c>
      <c s="5" r="U5"/>
      <c s="5" r="V5"/>
      <c s="18" r="W5">
        <v>3.0</v>
      </c>
      <c t="s" s="20" r="X5">
        <v>51</v>
      </c>
      <c t="str" s="12" r="Y5">
        <f>SUMIF(L2:L62,3,D2:D62)</f>
        <v>34</v>
      </c>
      <c s="5" r="Z5"/>
      <c t="s" s="19" r="AA5">
        <v>52</v>
      </c>
      <c s="21" r="AB5">
        <v>0.0</v>
      </c>
    </row>
    <row customHeight="1" r="6" ht="12.75">
      <c s="4" r="A6">
        <v>33.0</v>
      </c>
      <c s="4" r="B6">
        <v>63.0</v>
      </c>
      <c t="s" s="5" r="C6">
        <v>53</v>
      </c>
      <c s="6" r="D6">
        <v>1.0</v>
      </c>
      <c t="s" s="5" r="E6">
        <v>54</v>
      </c>
      <c t="s" s="5" r="F6">
        <v>55</v>
      </c>
      <c s="5" r="G6"/>
      <c t="s" s="7" r="H6">
        <v>56</v>
      </c>
      <c s="8" r="I6">
        <v>22195.0</v>
      </c>
      <c t="str" s="9" r="J6">
        <f>2014-1960</f>
        <v>54</v>
      </c>
      <c t="s" s="5" r="K6">
        <v>57</v>
      </c>
      <c s="6" r="L6">
        <v>3.0</v>
      </c>
      <c t="s" s="7" r="M6">
        <v>58</v>
      </c>
      <c s="5" r="N6"/>
      <c s="5" r="O6"/>
      <c t="s" s="10" r="P6">
        <v>59</v>
      </c>
      <c s="5" r="R6"/>
      <c t="s" s="16" r="S6">
        <v>60</v>
      </c>
      <c t="str" s="17" r="T6">
        <f>SUMIF(J2:J62,"&lt;75",D2:D62)-T5-T4-T3</f>
        <v>16</v>
      </c>
      <c s="5" r="U6"/>
      <c s="5" r="V6"/>
      <c s="18" r="W6">
        <v>4.0</v>
      </c>
      <c t="s" s="20" r="X6">
        <v>61</v>
      </c>
      <c t="str" s="12" r="Y6">
        <f>SUMIF(L2:L62,4,D2:D62)</f>
        <v>6</v>
      </c>
      <c s="5" r="Z6"/>
      <c s="5" r="AA6"/>
      <c s="5" r="AB6"/>
    </row>
    <row customHeight="1" r="7" ht="12.75">
      <c s="4" r="A7">
        <v>33.0</v>
      </c>
      <c s="4" r="B7">
        <v>63.0</v>
      </c>
      <c t="s" s="5" r="C7">
        <v>62</v>
      </c>
      <c s="6" r="D7">
        <v>1.0</v>
      </c>
      <c t="s" s="5" r="E7">
        <v>63</v>
      </c>
      <c t="s" s="5" r="F7">
        <v>64</v>
      </c>
      <c t="s" s="4" r="G7">
        <v>65</v>
      </c>
      <c t="s" s="7" r="H7">
        <v>66</v>
      </c>
      <c s="8" r="I7">
        <v>21684.0</v>
      </c>
      <c t="str" s="9" r="J7">
        <f>2014-1959</f>
        <v>55</v>
      </c>
      <c t="s" s="5" r="K7">
        <v>67</v>
      </c>
      <c s="6" r="L7">
        <v>8.0</v>
      </c>
      <c t="s" s="7" r="M7">
        <v>68</v>
      </c>
      <c s="5" r="N7"/>
      <c s="5" r="O7"/>
      <c t="s" s="22" r="P7">
        <v>69</v>
      </c>
      <c t="str" s="15" r="Q7">
        <f>sumifs(D2:D62,G2:G62,"adjoint",H2:H62,"F")</f>
        <v>12</v>
      </c>
      <c s="5" r="R7"/>
      <c t="s" s="16" r="S7">
        <v>70</v>
      </c>
      <c t="str" s="17" r="T7">
        <f>SUMIF(J2:J62,"&lt;90",D2:D62)-T6-T5-T4-T3</f>
        <v>0</v>
      </c>
      <c s="5" r="U7"/>
      <c s="5" r="V7"/>
      <c s="18" r="W7">
        <v>5.0</v>
      </c>
      <c t="s" s="13" r="X7">
        <v>71</v>
      </c>
      <c t="str" s="12" r="Y7">
        <f>SUMIF(L2:L62,5,D2:D62)</f>
        <v>2</v>
      </c>
      <c s="5" r="Z7"/>
      <c s="5" r="AA7"/>
      <c s="5" r="AB7"/>
    </row>
    <row customHeight="1" r="8" ht="12.75">
      <c s="4" r="A8">
        <v>33.0</v>
      </c>
      <c s="4" r="B8">
        <v>63.0</v>
      </c>
      <c t="s" s="5" r="C8">
        <v>72</v>
      </c>
      <c s="6" r="D8">
        <v>1.0</v>
      </c>
      <c t="s" s="5" r="E8">
        <v>73</v>
      </c>
      <c t="s" s="5" r="F8">
        <v>74</v>
      </c>
      <c t="s" s="4" r="G8">
        <v>75</v>
      </c>
      <c t="s" s="7" r="H8">
        <v>76</v>
      </c>
      <c s="8" r="I8">
        <v>20801.0</v>
      </c>
      <c t="str" s="9" r="J8">
        <f>2014-1956</f>
        <v>58</v>
      </c>
      <c t="s" s="5" r="K8">
        <v>77</v>
      </c>
      <c s="6" r="L8">
        <v>3.0</v>
      </c>
      <c t="s" s="7" r="M8">
        <v>78</v>
      </c>
      <c s="5" r="N8"/>
      <c s="5" r="O8"/>
      <c t="s" s="22" r="P8">
        <v>79</v>
      </c>
      <c t="str" s="15" r="Q8">
        <f>sumifs(D2:D62,G2:G62,"adjoint",H2:H62,"M")+1</f>
        <v>13</v>
      </c>
      <c s="5" r="R8"/>
      <c t="s" s="16" r="S8">
        <v>80</v>
      </c>
      <c t="str" s="17" r="T8">
        <f>SUMIF(J2:J62,"&gt;=90",D2:D62)</f>
        <v>0</v>
      </c>
      <c s="5" r="U8"/>
      <c s="5" r="V8"/>
      <c s="18" r="W8">
        <v>6.0</v>
      </c>
      <c t="s" s="13" r="X8">
        <v>81</v>
      </c>
      <c t="str" s="12" r="Y8">
        <f>SUMIF(L2:L62,6,D2:D62)</f>
        <v>0</v>
      </c>
      <c s="5" r="Z8"/>
      <c s="5" r="AA8"/>
      <c s="5" r="AB8"/>
    </row>
    <row customHeight="1" r="9" ht="12.75">
      <c s="4" r="A9">
        <v>33.0</v>
      </c>
      <c s="4" r="B9">
        <v>63.0</v>
      </c>
      <c t="s" s="5" r="C9">
        <v>82</v>
      </c>
      <c s="6" r="D9">
        <v>1.0</v>
      </c>
      <c t="s" s="5" r="E9">
        <v>83</v>
      </c>
      <c t="s" s="5" r="F9">
        <v>84</v>
      </c>
      <c t="s" s="4" r="G9">
        <v>85</v>
      </c>
      <c t="s" s="7" r="H9">
        <v>86</v>
      </c>
      <c s="8" r="I9">
        <v>25975.0</v>
      </c>
      <c t="str" s="9" r="J9">
        <f>2014-1971</f>
        <v>43</v>
      </c>
      <c t="s" s="5" r="K9">
        <v>87</v>
      </c>
      <c s="6" r="L9">
        <v>2.0</v>
      </c>
      <c t="s" s="7" r="M9">
        <v>88</v>
      </c>
      <c s="5" r="N9"/>
      <c s="5" r="O9"/>
      <c s="5" r="P9"/>
      <c s="5" r="Q9"/>
      <c s="5" r="R9"/>
      <c s="5" r="S9"/>
      <c s="5" r="T9"/>
      <c s="5" r="U9"/>
      <c s="5" r="V9"/>
      <c s="18" r="W9">
        <v>7.0</v>
      </c>
      <c t="s" s="13" r="X9">
        <v>89</v>
      </c>
      <c t="str" s="12" r="Y9">
        <f>SUMIF(L2:L62,7,D2:D62)</f>
        <v>2</v>
      </c>
      <c s="5" r="Z9"/>
      <c s="5" r="AA9"/>
      <c s="5" r="AB9"/>
    </row>
    <row customHeight="1" r="10" ht="12.75">
      <c s="4" r="A10">
        <v>33.0</v>
      </c>
      <c s="4" r="B10">
        <v>63.0</v>
      </c>
      <c t="s" s="5" r="C10">
        <v>90</v>
      </c>
      <c s="6" r="D10">
        <v>1.0</v>
      </c>
      <c t="s" s="5" r="E10">
        <v>91</v>
      </c>
      <c t="s" s="5" r="F10">
        <v>92</v>
      </c>
      <c t="s" s="4" r="G10">
        <v>93</v>
      </c>
      <c t="s" s="7" r="H10">
        <v>94</v>
      </c>
      <c s="8" r="I10">
        <v>16309.0</v>
      </c>
      <c t="str" s="9" r="J10">
        <f>2014-1944</f>
        <v>70</v>
      </c>
      <c t="s" s="5" r="K10">
        <v>95</v>
      </c>
      <c s="6" r="L10">
        <v>2.0</v>
      </c>
      <c t="s" s="7" r="M10">
        <v>96</v>
      </c>
      <c s="5" r="N10"/>
      <c s="5" r="O10"/>
      <c s="5" r="P10"/>
      <c s="5" r="Q10"/>
      <c s="5" r="R10"/>
      <c t="s" s="23" r="S10">
        <v>97</v>
      </c>
      <c t="s" s="23" r="T10">
        <v>98</v>
      </c>
      <c t="str" s="24" r="U10">
        <f>SUMIFS(D2:D62,J2:J62,"&lt;30",H2:H62,"F")</f>
        <v>3</v>
      </c>
      <c s="5" r="V10"/>
      <c s="18" r="W10">
        <v>8.0</v>
      </c>
      <c t="s" s="13" r="X10">
        <v>99</v>
      </c>
      <c t="str" s="12" r="Y10">
        <f>SUMIF(L2:L62,8,D2:D62)</f>
        <v>6</v>
      </c>
      <c s="5" r="Z10"/>
      <c s="5" r="AA10"/>
      <c s="5" r="AB10"/>
    </row>
    <row customHeight="1" r="11" ht="12.75">
      <c s="4" r="A11">
        <v>33.0</v>
      </c>
      <c s="4" r="B11">
        <v>63.0</v>
      </c>
      <c t="s" s="5" r="C11">
        <v>100</v>
      </c>
      <c s="6" r="D11">
        <v>1.0</v>
      </c>
      <c t="s" s="5" r="E11">
        <v>101</v>
      </c>
      <c t="s" s="5" r="F11">
        <v>102</v>
      </c>
      <c t="s" s="4" r="G11">
        <v>103</v>
      </c>
      <c t="s" s="7" r="H11">
        <v>104</v>
      </c>
      <c s="8" r="I11">
        <v>20359.0</v>
      </c>
      <c t="str" s="9" r="J11">
        <f>2014-1955</f>
        <v>59</v>
      </c>
      <c t="s" s="5" r="K11">
        <v>105</v>
      </c>
      <c s="6" r="L11">
        <v>3.0</v>
      </c>
      <c t="s" s="7" r="M11">
        <v>106</v>
      </c>
      <c s="5" r="N11"/>
      <c s="5" r="O11"/>
      <c s="5" r="P11"/>
      <c s="5" r="Q11"/>
      <c s="5" r="R11"/>
      <c s="25" r="S11"/>
      <c t="s" s="23" r="T11">
        <v>107</v>
      </c>
      <c t="str" s="24" r="U11">
        <f>SUMIFS(D2:D62,J2:J62,"&lt;45",H2:H62,"F")-U10</f>
        <v>8</v>
      </c>
      <c s="5" r="V11"/>
      <c s="5" r="W11"/>
      <c s="5" r="X11"/>
      <c s="7" r="Y11"/>
      <c s="5" r="Z11"/>
      <c s="5" r="AA11"/>
      <c s="5" r="AB11"/>
    </row>
    <row customHeight="1" r="12" ht="12.75">
      <c s="4" r="A12">
        <v>33.0</v>
      </c>
      <c s="4" r="B12">
        <v>63.0</v>
      </c>
      <c t="s" s="5" r="C12">
        <v>108</v>
      </c>
      <c s="6" r="D12">
        <v>1.0</v>
      </c>
      <c t="s" s="5" r="E12">
        <v>109</v>
      </c>
      <c t="s" s="5" r="F12">
        <v>110</v>
      </c>
      <c s="5" r="G12"/>
      <c t="s" s="7" r="H12">
        <v>111</v>
      </c>
      <c s="8" r="I12">
        <v>32183.0</v>
      </c>
      <c t="str" s="9" r="J12">
        <f>2014-1988</f>
        <v>26</v>
      </c>
      <c t="s" s="5" r="K12">
        <v>112</v>
      </c>
      <c s="6" r="L12">
        <v>3.0</v>
      </c>
      <c t="s" s="7" r="M12">
        <v>113</v>
      </c>
      <c s="5" r="N12"/>
      <c s="5" r="O12"/>
      <c s="5" r="P12"/>
      <c s="5" r="Q12"/>
      <c s="5" r="R12"/>
      <c s="25" r="S12"/>
      <c t="s" s="23" r="T12">
        <v>114</v>
      </c>
      <c t="str" s="24" r="U12">
        <f>SUMIFS(D2:D62,J2:J62,"&lt;60",H2:H62,"F")-SUM(U10:U11)</f>
        <v>15</v>
      </c>
      <c s="5" r="V12"/>
      <c s="5" r="W12"/>
      <c s="5" r="X12"/>
      <c s="7" r="Y12"/>
      <c s="5" r="Z12"/>
      <c s="5" r="AA12"/>
      <c s="5" r="AB12"/>
    </row>
    <row customHeight="1" r="13" ht="12.75">
      <c s="4" r="A13">
        <v>33.0</v>
      </c>
      <c s="4" r="B13">
        <v>63.0</v>
      </c>
      <c t="s" s="5" r="C13">
        <v>115</v>
      </c>
      <c s="6" r="D13">
        <v>1.0</v>
      </c>
      <c t="s" s="5" r="E13">
        <v>116</v>
      </c>
      <c t="s" s="5" r="F13">
        <v>117</v>
      </c>
      <c t="s" s="4" r="G13">
        <v>118</v>
      </c>
      <c t="s" s="7" r="H13">
        <v>119</v>
      </c>
      <c s="8" r="I13">
        <v>20695.0</v>
      </c>
      <c t="str" s="9" r="J13">
        <f>2014-1956</f>
        <v>58</v>
      </c>
      <c t="s" s="5" r="K13">
        <v>120</v>
      </c>
      <c s="6" r="L13">
        <v>3.0</v>
      </c>
      <c t="s" s="7" r="M13">
        <v>121</v>
      </c>
      <c s="5" r="N13"/>
      <c s="5" r="O13"/>
      <c s="5" r="P13"/>
      <c s="5" r="Q13"/>
      <c s="5" r="R13"/>
      <c s="25" r="S13"/>
      <c t="s" s="23" r="T13">
        <v>122</v>
      </c>
      <c t="str" s="24" r="U13">
        <f>SUMIFS(D2:D62,J2:J62,"&lt;75",H2:H62,"F")-SUM(U10:U12)</f>
        <v>4</v>
      </c>
      <c s="5" r="V13"/>
      <c t="s" s="26" r="W13">
        <v>123</v>
      </c>
      <c t="s" s="20" r="X13">
        <v>124</v>
      </c>
      <c t="str" s="27" r="Y13">
        <f>SUMIFS(D2:D62,H2:H62,"F",L2:L62,"1")</f>
        <v>0</v>
      </c>
      <c s="5" r="Z13"/>
      <c s="5" r="AA13"/>
      <c s="5" r="AB13"/>
    </row>
    <row customHeight="1" r="14" ht="12.75">
      <c s="4" r="A14">
        <v>33.0</v>
      </c>
      <c s="4" r="B14">
        <v>63.0</v>
      </c>
      <c t="s" s="5" r="C14">
        <v>125</v>
      </c>
      <c s="6" r="D14">
        <v>1.0</v>
      </c>
      <c t="s" s="5" r="E14">
        <v>126</v>
      </c>
      <c t="s" s="5" r="F14">
        <v>127</v>
      </c>
      <c s="5" r="G14"/>
      <c t="s" s="7" r="H14">
        <v>128</v>
      </c>
      <c s="8" r="I14">
        <v>19041.0</v>
      </c>
      <c t="str" s="9" r="J14">
        <f>2014-1952</f>
        <v>62</v>
      </c>
      <c t="s" s="5" r="K14">
        <v>129</v>
      </c>
      <c s="6" r="L14">
        <v>7.0</v>
      </c>
      <c t="s" s="7" r="M14">
        <v>130</v>
      </c>
      <c s="5" r="N14"/>
      <c s="5" r="O14"/>
      <c s="5" r="P14"/>
      <c s="5" r="Q14"/>
      <c s="5" r="R14"/>
      <c s="25" r="S14"/>
      <c t="s" s="23" r="T14">
        <v>131</v>
      </c>
      <c t="str" s="24" r="U14">
        <f>SUMIFS(D2:D62,J2:J62,"&lt;90",H2:H62,"F")-SUM(U10:U13)</f>
        <v>0</v>
      </c>
      <c s="5" r="V14"/>
      <c t="s" s="20" r="X14">
        <v>132</v>
      </c>
      <c t="str" s="27" r="Y14">
        <f>SUMIFS(D2:D62,H2:H62,"F",L2:L62,"2")</f>
        <v>1</v>
      </c>
      <c s="5" r="Z14"/>
      <c s="5" r="AA14"/>
      <c s="5" r="AB14"/>
    </row>
    <row customHeight="1" r="15" ht="12.75">
      <c s="4" r="A15">
        <v>33.0</v>
      </c>
      <c s="4" r="B15">
        <v>63.0</v>
      </c>
      <c t="s" s="5" r="C15">
        <v>133</v>
      </c>
      <c s="6" r="D15">
        <v>1.0</v>
      </c>
      <c t="s" s="5" r="E15">
        <v>134</v>
      </c>
      <c t="s" s="5" r="F15">
        <v>135</v>
      </c>
      <c t="s" s="4" r="G15">
        <v>136</v>
      </c>
      <c t="s" s="7" r="H15">
        <v>137</v>
      </c>
      <c s="8" r="I15">
        <v>24705.0</v>
      </c>
      <c t="str" s="9" r="J15">
        <f>2014-1967</f>
        <v>47</v>
      </c>
      <c t="s" s="5" r="K15">
        <v>138</v>
      </c>
      <c s="6" r="L15">
        <v>8.0</v>
      </c>
      <c t="s" s="7" r="M15">
        <v>139</v>
      </c>
      <c s="5" r="N15"/>
      <c s="5" r="O15"/>
      <c s="5" r="P15"/>
      <c s="5" r="Q15"/>
      <c s="5" r="R15"/>
      <c s="28" r="S15"/>
      <c t="s" s="29" r="T15">
        <v>140</v>
      </c>
      <c t="str" s="30" r="U15">
        <f>SUMIFS(D2:D62,J2:J62,"&gt;=90",H2:H62,"F")</f>
        <v>0</v>
      </c>
      <c s="5" r="V15"/>
      <c t="s" s="20" r="X15">
        <v>141</v>
      </c>
      <c t="str" s="27" r="Y15">
        <f>SUMIFS(D2:D62,H2:H62,"F",L2:L62,"3")</f>
        <v>21</v>
      </c>
      <c s="5" r="Z15"/>
      <c s="5" r="AA15"/>
      <c s="5" r="AB15"/>
    </row>
    <row customHeight="1" r="16" ht="12.75">
      <c s="4" r="A16">
        <v>33.0</v>
      </c>
      <c s="4" r="B16">
        <v>63.0</v>
      </c>
      <c t="s" s="5" r="C16">
        <v>142</v>
      </c>
      <c s="6" r="D16">
        <v>1.0</v>
      </c>
      <c t="s" s="5" r="E16">
        <v>143</v>
      </c>
      <c t="s" s="5" r="F16">
        <v>144</v>
      </c>
      <c t="s" s="4" r="G16">
        <v>145</v>
      </c>
      <c t="s" s="7" r="H16">
        <v>146</v>
      </c>
      <c s="8" r="I16">
        <v>19148.0</v>
      </c>
      <c t="str" s="9" r="J16">
        <f>2014-1952</f>
        <v>62</v>
      </c>
      <c t="s" s="5" r="K16">
        <v>147</v>
      </c>
      <c s="6" r="L16">
        <v>3.0</v>
      </c>
      <c t="s" s="7" r="M16">
        <v>148</v>
      </c>
      <c s="5" r="N16"/>
      <c s="5" r="O16"/>
      <c s="5" r="P16"/>
      <c s="5" r="Q16"/>
      <c s="5" r="R16"/>
      <c t="s" s="23" r="S16">
        <v>149</v>
      </c>
      <c t="s" s="23" r="T16">
        <v>150</v>
      </c>
      <c t="str" s="24" r="U16">
        <f>SUMIFS(D2:D62,J2:J62,"&lt;30",H2:H62,"M")</f>
        <v>0</v>
      </c>
      <c s="5" r="V16"/>
      <c t="s" s="20" r="X16">
        <v>151</v>
      </c>
      <c t="str" s="27" r="Y16">
        <f>SUMIFS(D2:D62,H2:H62,"F",L2:L62,"4")</f>
        <v>3</v>
      </c>
      <c s="5" r="Z16"/>
      <c s="5" r="AA16"/>
      <c s="5" r="AB16"/>
    </row>
    <row customHeight="1" r="17" ht="12.75">
      <c s="4" r="A17">
        <v>33.0</v>
      </c>
      <c s="4" r="B17">
        <v>63.0</v>
      </c>
      <c t="s" s="5" r="C17">
        <v>152</v>
      </c>
      <c s="6" r="D17">
        <v>1.0</v>
      </c>
      <c t="s" s="5" r="E17">
        <v>153</v>
      </c>
      <c t="s" s="5" r="F17">
        <v>154</v>
      </c>
      <c s="5" r="G17"/>
      <c t="s" s="7" r="H17">
        <v>155</v>
      </c>
      <c s="8" r="I17">
        <v>25906.0</v>
      </c>
      <c t="str" s="9" r="J17">
        <f>2014-1970</f>
        <v>44</v>
      </c>
      <c t="s" s="5" r="K17">
        <v>156</v>
      </c>
      <c s="6" r="L17">
        <v>5.0</v>
      </c>
      <c t="s" s="7" r="M17">
        <v>157</v>
      </c>
      <c s="5" r="N17"/>
      <c s="5" r="O17"/>
      <c s="5" r="P17"/>
      <c s="5" r="Q17"/>
      <c s="5" r="R17"/>
      <c s="25" r="S17"/>
      <c t="s" s="23" r="T17">
        <v>158</v>
      </c>
      <c t="str" s="24" r="U17">
        <f>SUMIFS(D2:D62,J2:J62,"&lt;40",H2:H62,"M")-U16</f>
        <v>5</v>
      </c>
      <c s="5" r="V17"/>
      <c t="s" s="20" r="X17">
        <v>159</v>
      </c>
      <c t="str" s="27" r="Y17">
        <f>SUMIFS(D2:D62,H2:H62,"F",L2:L62,"5")</f>
        <v>1</v>
      </c>
      <c s="5" r="Z17"/>
      <c s="5" r="AA17"/>
      <c s="5" r="AB17"/>
    </row>
    <row customHeight="1" r="18" ht="12.75">
      <c s="4" r="A18">
        <v>33.0</v>
      </c>
      <c s="4" r="B18">
        <v>63.0</v>
      </c>
      <c t="s" s="5" r="C18">
        <v>160</v>
      </c>
      <c s="6" r="D18">
        <v>1.0</v>
      </c>
      <c t="s" s="5" r="E18">
        <v>161</v>
      </c>
      <c t="s" s="5" r="F18">
        <v>162</v>
      </c>
      <c s="5" r="G18"/>
      <c t="s" s="7" r="H18">
        <v>163</v>
      </c>
      <c s="8" r="I18">
        <v>23957.0</v>
      </c>
      <c t="str" s="9" r="J18">
        <f>2014-1965</f>
        <v>49</v>
      </c>
      <c t="s" s="5" r="K18">
        <v>164</v>
      </c>
      <c s="6" r="L18">
        <v>3.0</v>
      </c>
      <c t="s" s="7" r="M18">
        <v>165</v>
      </c>
      <c s="5" r="N18"/>
      <c s="5" r="O18"/>
      <c s="5" r="P18"/>
      <c s="5" r="Q18"/>
      <c s="5" r="R18"/>
      <c s="25" r="S18"/>
      <c t="s" s="23" r="T18">
        <v>166</v>
      </c>
      <c t="str" s="24" r="U18">
        <f>SUMIFS(D2:D62,J2:J62,"&lt;60",H2:H62,"M")-SUM(U16:U17)</f>
        <v>14</v>
      </c>
      <c s="5" r="V18"/>
      <c t="s" s="20" r="X18">
        <v>167</v>
      </c>
      <c t="str" s="27" r="Y18">
        <f>SUMIFS(D2:D62,H2:H62,"F",L2:L62,"6")</f>
        <v>0</v>
      </c>
      <c s="5" r="Z18"/>
      <c s="5" r="AA18"/>
      <c s="5" r="AB18"/>
    </row>
    <row customHeight="1" r="19" ht="12.75">
      <c s="4" r="A19">
        <v>33.0</v>
      </c>
      <c s="4" r="B19">
        <v>63.0</v>
      </c>
      <c t="s" s="5" r="C19">
        <v>168</v>
      </c>
      <c s="6" r="D19">
        <v>1.0</v>
      </c>
      <c t="s" s="5" r="E19">
        <v>169</v>
      </c>
      <c t="s" s="5" r="F19">
        <v>170</v>
      </c>
      <c t="s" s="4" r="G19">
        <v>171</v>
      </c>
      <c t="s" s="7" r="H19">
        <v>172</v>
      </c>
      <c s="8" r="I19">
        <v>25174.0</v>
      </c>
      <c t="str" s="9" r="J19">
        <f>2014-1968</f>
        <v>46</v>
      </c>
      <c t="s" s="5" r="K19">
        <v>173</v>
      </c>
      <c s="6" r="L19">
        <v>8.0</v>
      </c>
      <c t="s" s="7" r="M19">
        <v>174</v>
      </c>
      <c s="5" r="N19"/>
      <c s="5" r="O19"/>
      <c s="5" r="P19"/>
      <c s="5" r="Q19"/>
      <c s="5" r="R19"/>
      <c s="25" r="S19"/>
      <c t="s" s="23" r="T19">
        <v>175</v>
      </c>
      <c t="str" s="24" r="U19">
        <f>SUMIFS(D2:D62,J2:J62,"&lt;70",H2:H62,"M")-SUM(U16:U18)</f>
        <v>11</v>
      </c>
      <c s="5" r="V19"/>
      <c t="s" s="20" r="X19">
        <v>176</v>
      </c>
      <c t="str" s="27" r="Y19">
        <f>SUMIFS(D2:D62,H2:H62,"F",L2:L62,"7")</f>
        <v>0</v>
      </c>
      <c s="5" r="Z19"/>
      <c s="5" r="AA19"/>
      <c s="5" r="AB19"/>
    </row>
    <row customHeight="1" r="20" ht="12.75">
      <c s="4" r="A20">
        <v>33.0</v>
      </c>
      <c s="4" r="B20">
        <v>63.0</v>
      </c>
      <c t="s" s="5" r="C20">
        <v>177</v>
      </c>
      <c s="6" r="D20">
        <v>1.0</v>
      </c>
      <c t="s" s="5" r="E20">
        <v>178</v>
      </c>
      <c t="s" s="5" r="F20">
        <v>179</v>
      </c>
      <c s="5" r="G20"/>
      <c t="s" s="7" r="H20">
        <v>180</v>
      </c>
      <c s="8" r="I20">
        <v>17175.0</v>
      </c>
      <c t="str" s="9" r="J20">
        <f>2014-1947</f>
        <v>67</v>
      </c>
      <c t="s" s="5" r="K20">
        <v>181</v>
      </c>
      <c s="6" r="L20">
        <v>3.0</v>
      </c>
      <c t="s" s="7" r="M20">
        <v>182</v>
      </c>
      <c s="5" r="N20"/>
      <c s="5" r="O20"/>
      <c s="5" r="P20"/>
      <c s="5" r="Q20"/>
      <c s="5" r="R20"/>
      <c s="25" r="S20"/>
      <c t="s" s="23" r="T20">
        <v>183</v>
      </c>
      <c t="str" s="24" r="U20">
        <f>SUMIFS(D2:D62,J2:J62,"&lt;90",H2:H62,"M")-SUM(U16:U19)</f>
        <v>1</v>
      </c>
      <c s="5" r="V20"/>
      <c t="s" s="20" r="X20">
        <v>184</v>
      </c>
      <c t="str" s="27" r="Y20">
        <f>SUMIFS(D2:D62,H2:H62,"F",L2:L62,"8")</f>
        <v>4</v>
      </c>
      <c s="5" r="Z20"/>
      <c s="5" r="AA20"/>
      <c s="5" r="AB20"/>
    </row>
    <row customHeight="1" r="21" ht="12.75">
      <c s="4" r="A21">
        <v>33.0</v>
      </c>
      <c s="4" r="B21">
        <v>63.0</v>
      </c>
      <c t="s" s="5" r="C21">
        <v>185</v>
      </c>
      <c s="6" r="D21">
        <v>1.0</v>
      </c>
      <c t="s" s="5" r="E21">
        <v>186</v>
      </c>
      <c t="s" s="5" r="F21">
        <v>187</v>
      </c>
      <c t="s" s="4" r="G21">
        <v>188</v>
      </c>
      <c t="s" s="7" r="H21">
        <v>189</v>
      </c>
      <c s="8" r="I21">
        <v>19100.0</v>
      </c>
      <c t="str" s="9" r="J21">
        <f>2014-1952</f>
        <v>62</v>
      </c>
      <c t="s" s="5" r="K21">
        <v>190</v>
      </c>
      <c s="6" r="L21">
        <v>2.0</v>
      </c>
      <c t="s" s="7" r="M21">
        <v>191</v>
      </c>
      <c s="5" r="N21"/>
      <c s="5" r="O21"/>
      <c s="5" r="P21"/>
      <c s="5" r="Q21"/>
      <c s="5" r="R21"/>
      <c s="28" r="S21"/>
      <c t="s" s="29" r="T21">
        <v>192</v>
      </c>
      <c t="str" s="30" r="U21">
        <f>SUMIFS(D2:D62,J2:J62,"&gt;=90",H2:H62,"M")</f>
        <v>0</v>
      </c>
      <c s="5" r="V21"/>
      <c t="s" s="26" r="W21">
        <v>193</v>
      </c>
      <c t="s" s="20" r="X21">
        <v>194</v>
      </c>
      <c t="str" s="27" r="Y21">
        <f>SUMIFS(D2:D62,H2:H62,"M",L2:L62,"1")</f>
        <v>1</v>
      </c>
      <c s="5" r="Z21"/>
      <c s="5" r="AA21"/>
      <c s="5" r="AB21"/>
    </row>
    <row customHeight="1" r="22" ht="12.75">
      <c s="4" r="A22">
        <v>33.0</v>
      </c>
      <c s="4" r="B22">
        <v>63.0</v>
      </c>
      <c t="s" s="5" r="C22">
        <v>195</v>
      </c>
      <c s="6" r="D22">
        <v>1.0</v>
      </c>
      <c t="s" s="5" r="E22">
        <v>196</v>
      </c>
      <c t="s" s="5" r="F22">
        <v>197</v>
      </c>
      <c t="s" s="4" r="G22">
        <v>198</v>
      </c>
      <c t="s" s="7" r="H22">
        <v>199</v>
      </c>
      <c s="8" r="I22">
        <v>22613.0</v>
      </c>
      <c t="str" s="9" r="J22">
        <f>2014-1961</f>
        <v>53</v>
      </c>
      <c t="s" s="5" r="K22">
        <v>200</v>
      </c>
      <c s="6" r="L22">
        <v>3.0</v>
      </c>
      <c t="s" s="7" r="M22">
        <v>201</v>
      </c>
      <c s="5" r="N22"/>
      <c s="5" r="O22"/>
      <c s="5" r="P22"/>
      <c s="5" r="Q22"/>
      <c s="5" r="R22"/>
      <c s="5" r="S22"/>
      <c s="5" r="T22"/>
      <c s="5" r="U22"/>
      <c s="5" r="V22"/>
      <c t="s" s="20" r="X22">
        <v>202</v>
      </c>
      <c t="str" s="27" r="Y22">
        <f>SUMIFS(D2:D62,H2:H62,"M",L2:L62,"2")</f>
        <v>9</v>
      </c>
      <c s="5" r="Z22"/>
      <c s="5" r="AA22"/>
      <c s="5" r="AB22"/>
    </row>
    <row customHeight="1" r="23" ht="12.75">
      <c s="4" r="A23">
        <v>33.0</v>
      </c>
      <c s="4" r="B23">
        <v>63.0</v>
      </c>
      <c t="s" s="5" r="C23">
        <v>203</v>
      </c>
      <c s="6" r="D23">
        <v>1.0</v>
      </c>
      <c t="s" s="5" r="E23">
        <v>204</v>
      </c>
      <c t="s" s="5" r="F23">
        <v>205</v>
      </c>
      <c s="5" r="G23"/>
      <c t="s" s="7" r="H23">
        <v>206</v>
      </c>
      <c s="8" r="I23">
        <v>26270.0</v>
      </c>
      <c t="str" s="9" r="J23">
        <f>2014-1971</f>
        <v>43</v>
      </c>
      <c t="s" s="5" r="K23">
        <v>207</v>
      </c>
      <c s="6" r="L23">
        <v>2.0</v>
      </c>
      <c t="s" s="7" r="M23">
        <v>208</v>
      </c>
      <c s="5" r="N23"/>
      <c s="5" r="O23"/>
      <c s="5" r="P23"/>
      <c s="5" r="Q23"/>
      <c s="5" r="R23"/>
      <c t="s" s="31" r="S23">
        <v>209</v>
      </c>
      <c t="str" s="30" r="U23">
        <f>SUMIF(H2:H62,"F",J2:J62)/30</f>
        <v>48</v>
      </c>
      <c s="5" r="V23"/>
      <c t="s" s="20" r="X23">
        <v>210</v>
      </c>
      <c t="str" s="27" r="Y23">
        <f>SUMIFS(D2:D62,H2:H62,"M",L2:L62,"3")</f>
        <v>13</v>
      </c>
      <c s="5" r="Z23"/>
      <c s="5" r="AA23"/>
      <c s="5" r="AB23"/>
    </row>
    <row customHeight="1" r="24" ht="12.75">
      <c s="4" r="A24">
        <v>33.0</v>
      </c>
      <c s="4" r="B24">
        <v>63.0</v>
      </c>
      <c t="s" s="5" r="C24">
        <v>211</v>
      </c>
      <c s="6" r="D24">
        <v>1.0</v>
      </c>
      <c t="s" s="5" r="E24">
        <v>212</v>
      </c>
      <c t="s" s="5" r="F24">
        <v>213</v>
      </c>
      <c s="5" r="G24"/>
      <c t="s" s="7" r="H24">
        <v>214</v>
      </c>
      <c s="8" r="I24">
        <v>19219.0</v>
      </c>
      <c t="str" s="9" r="J24">
        <f>2014-1952</f>
        <v>62</v>
      </c>
      <c t="s" s="5" r="K24">
        <v>215</v>
      </c>
      <c s="6" r="L24">
        <v>2.0</v>
      </c>
      <c t="s" s="7" r="M24">
        <v>216</v>
      </c>
      <c s="5" r="N24"/>
      <c s="5" r="O24"/>
      <c s="5" r="P24"/>
      <c s="5" r="Q24"/>
      <c s="5" r="R24"/>
      <c t="s" s="31" r="S24">
        <v>217</v>
      </c>
      <c t="str" s="30" r="U24">
        <f>SUMIF(H2:H62,"M",J2:J62)/31</f>
        <v>53</v>
      </c>
      <c s="5" r="V24"/>
      <c t="s" s="20" r="X24">
        <v>218</v>
      </c>
      <c t="str" s="27" r="Y24">
        <f>SUMIFS(D2:D62,H2:H62,"M",L2:L62,"4")</f>
        <v>3</v>
      </c>
      <c s="5" r="Z24"/>
      <c s="5" r="AA24"/>
      <c s="5" r="AB24"/>
    </row>
    <row customHeight="1" r="25" ht="12.75">
      <c s="4" r="A25">
        <v>33.0</v>
      </c>
      <c s="4" r="B25">
        <v>63.0</v>
      </c>
      <c t="s" s="5" r="C25">
        <v>219</v>
      </c>
      <c s="6" r="D25">
        <v>1.0</v>
      </c>
      <c t="s" s="5" r="E25">
        <v>220</v>
      </c>
      <c t="s" s="5" r="F25">
        <v>221</v>
      </c>
      <c s="5" r="G25"/>
      <c t="s" s="7" r="H25">
        <v>222</v>
      </c>
      <c s="8" r="I25">
        <v>18009.0</v>
      </c>
      <c t="str" s="9" r="J25">
        <f>2014-1949</f>
        <v>65</v>
      </c>
      <c t="s" s="5" r="K25">
        <v>223</v>
      </c>
      <c s="6" r="L25">
        <v>2.0</v>
      </c>
      <c t="s" s="7" r="M25">
        <v>224</v>
      </c>
      <c s="5" r="N25"/>
      <c s="5" r="O25"/>
      <c s="5" r="P25"/>
      <c s="5" r="Q25"/>
      <c s="5" r="R25"/>
      <c s="5" r="S25"/>
      <c s="5" r="T25"/>
      <c s="5" r="U25"/>
      <c s="5" r="V25"/>
      <c t="s" s="20" r="X25">
        <v>225</v>
      </c>
      <c t="str" s="27" r="Y25">
        <f>SUMIFS(D2:D62,H2:H62,"M",L2:L62,"5")</f>
        <v>1</v>
      </c>
      <c s="5" r="Z25"/>
      <c s="5" r="AA25"/>
      <c s="5" r="AB25"/>
    </row>
    <row customHeight="1" r="26" ht="12.75">
      <c s="4" r="A26">
        <v>33.0</v>
      </c>
      <c s="4" r="B26">
        <v>63.0</v>
      </c>
      <c t="s" s="5" r="C26">
        <v>226</v>
      </c>
      <c s="6" r="D26">
        <v>1.0</v>
      </c>
      <c t="s" s="5" r="E26">
        <v>227</v>
      </c>
      <c t="s" s="5" r="F26">
        <v>228</v>
      </c>
      <c s="5" r="G26"/>
      <c t="s" s="7" r="H26">
        <v>229</v>
      </c>
      <c s="8" r="I26">
        <v>24566.0</v>
      </c>
      <c t="str" s="9" r="J26">
        <f>2014-1967</f>
        <v>47</v>
      </c>
      <c t="s" s="5" r="K26">
        <v>230</v>
      </c>
      <c s="6" r="L26">
        <v>3.0</v>
      </c>
      <c t="s" s="7" r="M26">
        <v>231</v>
      </c>
      <c s="5" r="N26"/>
      <c s="5" r="O26"/>
      <c s="5" r="P26"/>
      <c s="5" r="Q26"/>
      <c s="5" r="R26"/>
      <c s="5" r="S26"/>
      <c s="5" r="T26"/>
      <c s="5" r="U26"/>
      <c s="5" r="V26"/>
      <c t="s" s="20" r="X26">
        <v>232</v>
      </c>
      <c t="str" s="27" r="Y26">
        <f>SUMIFS(D2:D62,H2:H62,"M",L2:L62,"6")</f>
        <v>0</v>
      </c>
      <c s="5" r="Z26"/>
      <c s="5" r="AA26"/>
      <c s="5" r="AB26"/>
    </row>
    <row customHeight="1" r="27" ht="12.75">
      <c s="4" r="A27">
        <v>33.0</v>
      </c>
      <c s="4" r="B27">
        <v>63.0</v>
      </c>
      <c t="s" s="5" r="C27">
        <v>233</v>
      </c>
      <c s="6" r="D27">
        <v>1.0</v>
      </c>
      <c t="s" s="5" r="E27">
        <v>234</v>
      </c>
      <c t="s" s="5" r="F27">
        <v>235</v>
      </c>
      <c t="s" s="4" r="G27">
        <v>236</v>
      </c>
      <c t="s" s="7" r="H27">
        <v>237</v>
      </c>
      <c s="8" r="I27">
        <v>28238.0</v>
      </c>
      <c t="str" s="9" r="J27">
        <f>2014-1977</f>
        <v>37</v>
      </c>
      <c t="s" s="5" r="K27">
        <v>238</v>
      </c>
      <c s="6" r="L27">
        <v>3.0</v>
      </c>
      <c t="s" s="7" r="M27">
        <v>239</v>
      </c>
      <c s="5" r="N27"/>
      <c s="5" r="O27"/>
      <c s="5" r="P27"/>
      <c s="5" r="Q27"/>
      <c s="5" r="R27"/>
      <c t="s" s="11" r="S27">
        <v>240</v>
      </c>
      <c s="5" r="U27"/>
      <c s="5" r="V27"/>
      <c t="s" s="20" r="X27">
        <v>241</v>
      </c>
      <c t="str" s="27" r="Y27">
        <f>SUMIFS(D2:D62,H2:H62,"M",L2:L62,"7")</f>
        <v>2</v>
      </c>
      <c s="5" r="Z27"/>
      <c s="5" r="AA27"/>
      <c s="5" r="AB27"/>
    </row>
    <row customHeight="1" r="28" ht="12.75">
      <c s="4" r="A28">
        <v>33.0</v>
      </c>
      <c s="4" r="B28">
        <v>63.0</v>
      </c>
      <c t="s" s="5" r="C28">
        <v>242</v>
      </c>
      <c s="6" r="D28">
        <v>1.0</v>
      </c>
      <c t="s" s="5" r="E28">
        <v>243</v>
      </c>
      <c t="s" s="5" r="F28">
        <v>244</v>
      </c>
      <c t="s" s="4" r="G28">
        <v>245</v>
      </c>
      <c t="s" s="7" r="H28">
        <v>246</v>
      </c>
      <c s="8" r="I28">
        <v>25291.0</v>
      </c>
      <c t="str" s="9" r="J28">
        <f>2014-1969</f>
        <v>45</v>
      </c>
      <c t="s" s="5" r="K28">
        <v>247</v>
      </c>
      <c s="6" r="L28">
        <v>3.0</v>
      </c>
      <c t="s" s="7" r="M28">
        <v>248</v>
      </c>
      <c s="5" r="N28"/>
      <c s="5" r="O28"/>
      <c s="5" r="P28"/>
      <c s="5" r="Q28"/>
      <c s="5" r="R28"/>
      <c t="s" s="11" r="S28">
        <v>249</v>
      </c>
      <c s="5" r="U28"/>
      <c s="5" r="V28"/>
      <c t="s" s="20" r="X28">
        <v>250</v>
      </c>
      <c t="str" s="27" r="Y28">
        <f>SUMIFS(D2:D62,H2:H62,"M",L2:L62,"8")</f>
        <v>2</v>
      </c>
      <c s="5" r="Z28"/>
      <c s="5" r="AA28"/>
      <c s="5" r="AB28"/>
    </row>
    <row customHeight="1" r="29" ht="12.75">
      <c s="4" r="A29">
        <v>33.0</v>
      </c>
      <c s="4" r="B29">
        <v>63.0</v>
      </c>
      <c t="s" s="5" r="C29">
        <v>251</v>
      </c>
      <c s="6" r="D29">
        <v>1.0</v>
      </c>
      <c t="s" s="5" r="E29">
        <v>252</v>
      </c>
      <c t="s" s="5" r="F29">
        <v>253</v>
      </c>
      <c s="5" r="G29"/>
      <c t="s" s="7" r="H29">
        <v>254</v>
      </c>
      <c s="8" r="I29">
        <v>22419.0</v>
      </c>
      <c t="str" s="9" r="J29">
        <f>2014-1961</f>
        <v>53</v>
      </c>
      <c t="s" s="5" r="K29">
        <v>255</v>
      </c>
      <c s="6" r="L29">
        <v>3.0</v>
      </c>
      <c t="s" s="7" r="M29">
        <v>256</v>
      </c>
      <c s="5" r="N29"/>
      <c s="5" r="O29"/>
      <c s="5" r="P29"/>
      <c s="5" r="Q29"/>
      <c s="5" r="R29"/>
      <c t="s" s="16" r="S29">
        <v>257</v>
      </c>
      <c t="str" s="17" r="T29">
        <f>SUMIFS(D2:D62,G2:G62,"adjoint",J2:J62,"&lt;30")</f>
        <v>0</v>
      </c>
      <c s="5" r="U29"/>
      <c s="5" r="V29"/>
      <c s="5" r="W29"/>
      <c s="5" r="X29"/>
      <c s="5" r="Y29"/>
      <c s="5" r="Z29"/>
      <c s="5" r="AA29"/>
      <c s="5" r="AB29"/>
    </row>
    <row customHeight="1" r="30" ht="12.75">
      <c s="4" r="A30">
        <v>33.0</v>
      </c>
      <c s="4" r="B30">
        <v>63.0</v>
      </c>
      <c t="s" s="5" r="C30">
        <v>258</v>
      </c>
      <c s="6" r="D30">
        <v>1.0</v>
      </c>
      <c t="s" s="5" r="E30">
        <v>259</v>
      </c>
      <c t="s" s="5" r="F30">
        <v>260</v>
      </c>
      <c s="5" r="G30"/>
      <c t="s" s="7" r="H30">
        <v>261</v>
      </c>
      <c s="8" r="I30">
        <v>20530.0</v>
      </c>
      <c t="str" s="9" r="J30">
        <f>2014-1956</f>
        <v>58</v>
      </c>
      <c t="s" s="5" r="K30">
        <v>262</v>
      </c>
      <c s="6" r="L30">
        <v>4.0</v>
      </c>
      <c t="s" s="7" r="M30">
        <v>263</v>
      </c>
      <c s="5" r="N30"/>
      <c s="5" r="O30"/>
      <c s="5" r="P30"/>
      <c s="5" r="Q30"/>
      <c s="5" r="R30"/>
      <c t="s" s="16" r="S30">
        <v>264</v>
      </c>
      <c t="str" s="17" r="T30">
        <f>SUMIFS(D2:D62,G2:G62,"adjoint",J2:J62,"&lt;45")-T29</f>
        <v>6</v>
      </c>
      <c s="5" r="U30"/>
      <c s="5" r="V30"/>
      <c t="s" s="12" r="W30">
        <v>265</v>
      </c>
      <c s="5" r="Y30"/>
      <c s="5" r="Z30"/>
      <c s="5" r="AA30"/>
      <c s="5" r="AB30"/>
    </row>
    <row customHeight="1" r="31" ht="12.75">
      <c s="4" r="A31">
        <v>33.0</v>
      </c>
      <c s="4" r="B31">
        <v>63.0</v>
      </c>
      <c t="s" s="5" r="C31">
        <v>266</v>
      </c>
      <c s="6" r="D31">
        <v>1.0</v>
      </c>
      <c t="s" s="5" r="E31">
        <v>267</v>
      </c>
      <c t="s" s="5" r="F31">
        <v>268</v>
      </c>
      <c t="s" s="4" r="G31">
        <v>269</v>
      </c>
      <c t="s" s="7" r="H31">
        <v>270</v>
      </c>
      <c s="8" r="I31">
        <v>29973.0</v>
      </c>
      <c t="str" s="9" r="J31">
        <f>2014-1982</f>
        <v>32</v>
      </c>
      <c t="s" s="5" r="K31">
        <v>271</v>
      </c>
      <c s="6" r="L31">
        <v>3.0</v>
      </c>
      <c t="s" s="7" r="M31">
        <v>272</v>
      </c>
      <c s="5" r="N31"/>
      <c s="5" r="O31"/>
      <c s="5" r="P31"/>
      <c s="5" r="Q31"/>
      <c s="5" r="R31"/>
      <c t="s" s="16" r="S31">
        <v>273</v>
      </c>
      <c t="str" s="17" r="T31">
        <f>SUMIFS(D2:D62,G2:G62,"adjoint",J2:J62,"&lt;60")-SUM(T29:T30)</f>
        <v>12</v>
      </c>
      <c s="5" r="U31"/>
      <c s="5" r="V31"/>
      <c t="s" s="12" r="W31">
        <v>274</v>
      </c>
      <c s="5" r="Y31"/>
      <c s="5" r="Z31"/>
      <c s="5" r="AA31"/>
      <c s="5" r="AB31"/>
    </row>
    <row customHeight="1" r="32" ht="12.75">
      <c s="4" r="A32">
        <v>33.0</v>
      </c>
      <c s="4" r="B32">
        <v>63.0</v>
      </c>
      <c t="s" s="5" r="C32">
        <v>275</v>
      </c>
      <c s="6" r="D32">
        <v>1.0</v>
      </c>
      <c t="s" s="5" r="E32">
        <v>276</v>
      </c>
      <c t="s" s="5" r="F32">
        <v>277</v>
      </c>
      <c t="s" s="4" r="G32">
        <v>278</v>
      </c>
      <c t="s" s="7" r="H32">
        <v>279</v>
      </c>
      <c s="8" r="I32">
        <v>19470.0</v>
      </c>
      <c t="str" s="9" r="J32">
        <f>2014-1953</f>
        <v>61</v>
      </c>
      <c t="s" s="5" r="K32">
        <v>280</v>
      </c>
      <c s="6" r="L32">
        <v>3.0</v>
      </c>
      <c t="s" s="7" r="M32">
        <v>281</v>
      </c>
      <c s="5" r="N32"/>
      <c s="5" r="O32"/>
      <c s="5" r="P32"/>
      <c s="5" r="Q32"/>
      <c s="5" r="R32"/>
      <c t="s" s="16" r="S32">
        <v>282</v>
      </c>
      <c t="str" s="17" r="T32">
        <f>SUMIFS(D2:D62,G2:G62,"adjoint",J2:J62,"&lt;75")-sum(T29:T31)+1</f>
        <v>7</v>
      </c>
      <c s="5" r="U32"/>
      <c s="5" r="V32"/>
      <c t="s" s="13" r="W32">
        <v>283</v>
      </c>
      <c t="str" s="12" r="X32">
        <f>sumifs(D2:D62,G2:G62,"adjoint",L2:L62,"1")</f>
        <v>0</v>
      </c>
      <c s="5" r="Y32"/>
      <c s="5" r="Z32"/>
      <c s="5" r="AA32"/>
      <c s="5" r="AB32"/>
    </row>
    <row customHeight="1" r="33" ht="12.75">
      <c s="4" r="A33">
        <v>33.0</v>
      </c>
      <c s="4" r="B33">
        <v>63.0</v>
      </c>
      <c t="s" s="5" r="C33">
        <v>284</v>
      </c>
      <c s="6" r="D33">
        <v>1.0</v>
      </c>
      <c t="s" s="5" r="E33">
        <v>285</v>
      </c>
      <c t="s" s="5" r="F33">
        <v>286</v>
      </c>
      <c s="5" r="G33"/>
      <c t="s" s="7" r="H33">
        <v>287</v>
      </c>
      <c s="8" r="I33">
        <v>29577.0</v>
      </c>
      <c t="str" s="9" r="J33">
        <f>2014-1980</f>
        <v>34</v>
      </c>
      <c t="s" s="5" r="K33">
        <v>288</v>
      </c>
      <c s="6" r="L33">
        <v>3.0</v>
      </c>
      <c t="s" s="7" r="M33">
        <v>289</v>
      </c>
      <c s="5" r="N33"/>
      <c s="5" r="O33"/>
      <c s="5" r="P33"/>
      <c s="5" r="Q33"/>
      <c s="5" r="R33"/>
      <c t="s" s="16" r="S33">
        <v>290</v>
      </c>
      <c t="str" s="17" r="T33">
        <f>SUMIFS(D2:D62,G2:G62,"adjoint",J2:J62,"&lt;90")-sum(T29:T32)+1</f>
        <v>0</v>
      </c>
      <c s="5" r="U33"/>
      <c s="5" r="V33"/>
      <c t="s" s="20" r="W33">
        <v>291</v>
      </c>
      <c t="str" s="12" r="X33">
        <f>sumifs(D2:D62,G2:G62,"adjoint",L2:L62,"2")</f>
        <v>6</v>
      </c>
      <c s="5" r="Y33"/>
      <c s="5" r="Z33"/>
      <c s="5" r="AA33"/>
      <c s="5" r="AB33"/>
    </row>
    <row customHeight="1" r="34" ht="12.75">
      <c s="4" r="A34">
        <v>33.0</v>
      </c>
      <c s="4" r="B34">
        <v>63.0</v>
      </c>
      <c t="s" s="5" r="C34">
        <v>292</v>
      </c>
      <c s="6" r="D34">
        <v>1.0</v>
      </c>
      <c t="s" s="5" r="E34">
        <v>293</v>
      </c>
      <c t="s" s="5" r="F34">
        <v>294</v>
      </c>
      <c s="5" r="G34"/>
      <c t="s" s="7" r="H34">
        <v>295</v>
      </c>
      <c s="8" r="I34">
        <v>27067.0</v>
      </c>
      <c t="str" s="9" r="J34">
        <f>2014-1974</f>
        <v>40</v>
      </c>
      <c t="s" s="5" r="K34">
        <v>296</v>
      </c>
      <c s="6" r="L34">
        <v>3.0</v>
      </c>
      <c t="s" s="7" r="M34">
        <v>297</v>
      </c>
      <c s="5" r="N34"/>
      <c s="5" r="O34"/>
      <c s="5" r="P34"/>
      <c s="5" r="Q34"/>
      <c s="5" r="R34"/>
      <c t="s" s="16" r="S34">
        <v>298</v>
      </c>
      <c t="str" s="17" r="T34">
        <f>SUMIFS(D2:D62,G2:G62,"adjoint",J2:J62,"&gt;=90")</f>
        <v>0</v>
      </c>
      <c s="5" r="U34"/>
      <c s="5" r="V34"/>
      <c t="s" s="20" r="W34">
        <v>299</v>
      </c>
      <c t="str" s="12" r="X34">
        <f>sumifs(D2:D62,G2:G62,"adjoint",L2:L62,"3")</f>
        <v>12</v>
      </c>
      <c s="5" r="Y34"/>
      <c s="5" r="Z34"/>
      <c s="5" r="AA34"/>
      <c s="5" r="AB34"/>
    </row>
    <row customHeight="1" r="35" ht="12.75">
      <c s="4" r="A35">
        <v>33.0</v>
      </c>
      <c s="4" r="B35">
        <v>63.0</v>
      </c>
      <c t="s" s="5" r="C35">
        <v>300</v>
      </c>
      <c s="6" r="D35">
        <v>1.0</v>
      </c>
      <c t="s" s="5" r="E35">
        <v>301</v>
      </c>
      <c t="s" s="5" r="F35">
        <v>302</v>
      </c>
      <c s="5" r="G35"/>
      <c t="s" s="7" r="H35">
        <v>303</v>
      </c>
      <c s="8" r="I35">
        <v>19141.0</v>
      </c>
      <c t="str" s="9" r="J35">
        <f>2014-1952</f>
        <v>62</v>
      </c>
      <c t="s" s="5" r="K35">
        <v>304</v>
      </c>
      <c s="6" r="L35">
        <v>3.0</v>
      </c>
      <c t="s" s="7" r="M35">
        <v>305</v>
      </c>
      <c s="5" r="N35"/>
      <c s="5" r="O35"/>
      <c s="5" r="P35"/>
      <c s="5" r="Q35"/>
      <c s="5" r="R35"/>
      <c s="5" r="S35"/>
      <c s="5" r="T35"/>
      <c s="5" r="U35"/>
      <c s="5" r="V35"/>
      <c t="s" s="20" r="W35">
        <v>306</v>
      </c>
      <c t="str" s="12" r="X35">
        <f>sumifs(D2:D62,G2:G62,"adjoint",L2:L62,"4")</f>
        <v>2</v>
      </c>
      <c s="5" r="Y35"/>
      <c s="5" r="Z35"/>
      <c s="5" r="AA35"/>
      <c s="5" r="AB35"/>
    </row>
    <row customHeight="1" r="36" ht="12.75">
      <c s="4" r="A36">
        <v>33.0</v>
      </c>
      <c s="4" r="B36">
        <v>63.0</v>
      </c>
      <c t="s" s="5" r="C36">
        <v>307</v>
      </c>
      <c s="6" r="D36">
        <v>1.0</v>
      </c>
      <c t="s" s="5" r="E36">
        <v>308</v>
      </c>
      <c t="s" s="5" r="F36">
        <v>309</v>
      </c>
      <c s="5" r="G36"/>
      <c t="s" s="7" r="H36">
        <v>310</v>
      </c>
      <c s="8" r="I36">
        <v>20189.0</v>
      </c>
      <c t="str" s="9" r="J36">
        <f>2014-1955</f>
        <v>59</v>
      </c>
      <c t="s" s="5" r="K36">
        <v>311</v>
      </c>
      <c s="6" r="L36">
        <v>3.0</v>
      </c>
      <c t="s" s="7" r="M36">
        <v>312</v>
      </c>
      <c s="5" r="N36"/>
      <c s="5" r="O36"/>
      <c s="5" r="P36"/>
      <c s="5" r="Q36"/>
      <c s="5" r="R36"/>
      <c s="5" r="S36"/>
      <c s="5" r="T36"/>
      <c s="5" r="U36"/>
      <c s="5" r="V36"/>
      <c t="s" s="13" r="W36">
        <v>313</v>
      </c>
      <c t="str" s="12" r="X36">
        <f>sumifs(D2:D62,G2:G62,"adjoint",L2:L62,"5")</f>
        <v>0</v>
      </c>
      <c s="5" r="Y36"/>
      <c s="5" r="Z36"/>
      <c s="5" r="AA36"/>
      <c s="5" r="AB36"/>
    </row>
    <row customHeight="1" r="37" ht="12.75">
      <c s="4" r="A37">
        <v>33.0</v>
      </c>
      <c s="4" r="B37">
        <v>63.0</v>
      </c>
      <c t="s" s="5" r="C37">
        <v>314</v>
      </c>
      <c s="6" r="D37">
        <v>1.0</v>
      </c>
      <c t="s" s="5" r="E37">
        <v>315</v>
      </c>
      <c t="s" s="5" r="F37">
        <v>316</v>
      </c>
      <c s="5" r="G37"/>
      <c t="s" s="7" r="H37">
        <v>317</v>
      </c>
      <c s="8" r="I37">
        <v>27674.0</v>
      </c>
      <c t="str" s="9" r="J37">
        <f>2014-1975</f>
        <v>39</v>
      </c>
      <c t="s" s="5" r="K37">
        <v>318</v>
      </c>
      <c s="6" r="L37">
        <v>4.0</v>
      </c>
      <c t="s" s="7" r="M37">
        <v>319</v>
      </c>
      <c s="5" r="N37"/>
      <c s="5" r="O37"/>
      <c s="5" r="P37"/>
      <c s="5" r="Q37"/>
      <c s="5" r="R37"/>
      <c s="5" r="S37"/>
      <c s="5" r="T37"/>
      <c s="5" r="U37"/>
      <c s="5" r="V37"/>
      <c t="s" s="13" r="W37">
        <v>320</v>
      </c>
      <c t="str" s="12" r="X37">
        <f>sumifs(D2:D62,G2:G62,"adjoint",L2:L62,"6")</f>
        <v>0</v>
      </c>
      <c s="5" r="Y37"/>
      <c s="5" r="Z37"/>
      <c s="5" r="AA37"/>
      <c s="5" r="AB37"/>
    </row>
    <row customHeight="1" r="38" ht="12.75">
      <c s="4" r="A38">
        <v>33.0</v>
      </c>
      <c s="4" r="B38">
        <v>63.0</v>
      </c>
      <c t="s" s="5" r="C38">
        <v>321</v>
      </c>
      <c s="6" r="D38">
        <v>1.0</v>
      </c>
      <c t="s" s="5" r="E38">
        <v>322</v>
      </c>
      <c t="s" s="5" r="F38">
        <v>323</v>
      </c>
      <c s="5" r="G38"/>
      <c t="s" s="7" r="H38">
        <v>324</v>
      </c>
      <c s="8" r="I38">
        <v>31335.0</v>
      </c>
      <c t="str" s="9" r="J38">
        <f>2014-1985</f>
        <v>29</v>
      </c>
      <c t="s" s="5" r="K38">
        <v>325</v>
      </c>
      <c s="6" r="L38">
        <v>3.0</v>
      </c>
      <c t="s" s="7" r="M38">
        <v>326</v>
      </c>
      <c s="5" r="N38"/>
      <c s="5" r="O38"/>
      <c s="5" r="P38"/>
      <c s="5" r="Q38"/>
      <c s="5" r="R38"/>
      <c s="5" r="S38"/>
      <c s="5" r="T38"/>
      <c s="5" r="U38"/>
      <c s="5" r="V38"/>
      <c t="s" s="13" r="W38">
        <v>327</v>
      </c>
      <c t="str" s="12" r="X38">
        <f>sumifs(D2:D62,G2:G62,"adjoint",L2:L62,"7")+1</f>
        <v>1</v>
      </c>
      <c s="5" r="Y38"/>
      <c s="5" r="Z38"/>
      <c s="5" r="AA38"/>
      <c s="5" r="AB38"/>
    </row>
    <row customHeight="1" r="39" ht="12.75">
      <c s="4" r="A39">
        <v>33.0</v>
      </c>
      <c s="4" r="B39">
        <v>63.0</v>
      </c>
      <c t="s" s="5" r="C39">
        <v>328</v>
      </c>
      <c s="6" r="D39">
        <v>1.0</v>
      </c>
      <c t="s" s="5" r="E39">
        <v>329</v>
      </c>
      <c t="s" s="5" r="F39">
        <v>330</v>
      </c>
      <c t="s" s="4" r="G39">
        <v>331</v>
      </c>
      <c t="s" s="7" r="H39">
        <v>332</v>
      </c>
      <c s="8" r="I39">
        <v>16664.0</v>
      </c>
      <c t="str" s="9" r="J39">
        <f>2014-1945</f>
        <v>69</v>
      </c>
      <c t="s" s="5" r="K39">
        <v>333</v>
      </c>
      <c s="6" r="L39">
        <v>7.0</v>
      </c>
      <c t="s" s="7" r="M39">
        <v>334</v>
      </c>
      <c s="5" r="N39"/>
      <c s="5" r="O39"/>
      <c s="5" r="P39"/>
      <c s="5" r="Q39"/>
      <c s="5" r="R39"/>
      <c s="5" r="S39"/>
      <c s="5" r="T39"/>
      <c s="5" r="U39"/>
      <c s="5" r="V39"/>
      <c t="s" s="13" r="W39">
        <v>335</v>
      </c>
      <c t="str" s="12" r="X39">
        <f>sumifs(D2:D62,G2:G62,"adjoint",L2:L62,"8")</f>
        <v>4</v>
      </c>
      <c s="5" r="Y39"/>
      <c s="5" r="Z39"/>
      <c s="5" r="AA39"/>
      <c s="5" r="AB39"/>
    </row>
    <row customHeight="1" r="40" ht="12.75">
      <c s="4" r="A40">
        <v>33.0</v>
      </c>
      <c s="4" r="B40">
        <v>63.0</v>
      </c>
      <c t="s" s="5" r="C40">
        <v>336</v>
      </c>
      <c s="6" r="D40">
        <v>1.0</v>
      </c>
      <c t="s" s="5" r="E40">
        <v>337</v>
      </c>
      <c t="s" s="5" r="F40">
        <v>338</v>
      </c>
      <c t="s" s="4" r="G40">
        <v>339</v>
      </c>
      <c t="s" s="7" r="H40">
        <v>340</v>
      </c>
      <c s="8" r="I40">
        <v>29646.0</v>
      </c>
      <c t="str" s="9" r="J40">
        <f>2014-1981</f>
        <v>33</v>
      </c>
      <c t="s" s="5" r="K40">
        <v>341</v>
      </c>
      <c s="6" r="L40">
        <v>3.0</v>
      </c>
      <c t="s" s="7" r="M40">
        <v>342</v>
      </c>
      <c s="5" r="N40"/>
      <c s="5" r="O40"/>
      <c s="5" r="P40"/>
      <c s="5" r="Q40"/>
      <c s="5" r="R40"/>
      <c s="5" r="S40"/>
      <c s="5" r="T40"/>
      <c s="5" r="U40"/>
      <c s="5" r="V40"/>
      <c s="5" r="W40"/>
      <c s="5" r="X40"/>
      <c s="5" r="Y40"/>
      <c s="5" r="Z40"/>
      <c s="5" r="AA40"/>
      <c s="5" r="AB40"/>
    </row>
    <row customHeight="1" r="41" ht="12.75">
      <c s="4" r="A41">
        <v>33.0</v>
      </c>
      <c s="4" r="B41">
        <v>63.0</v>
      </c>
      <c t="s" s="5" r="C41">
        <v>343</v>
      </c>
      <c s="6" r="D41">
        <v>1.0</v>
      </c>
      <c t="s" s="5" r="E41">
        <v>344</v>
      </c>
      <c t="s" s="5" r="F41">
        <v>345</v>
      </c>
      <c s="5" r="G41"/>
      <c t="s" s="7" r="H41">
        <v>346</v>
      </c>
      <c s="8" r="I41">
        <v>19337.0</v>
      </c>
      <c t="str" s="9" r="J41">
        <f>2014-1952</f>
        <v>62</v>
      </c>
      <c t="s" s="5" r="K41">
        <v>347</v>
      </c>
      <c s="6" r="L41">
        <v>4.0</v>
      </c>
      <c t="s" s="7" r="M41">
        <v>348</v>
      </c>
      <c s="5" r="N41"/>
      <c s="5" r="O41"/>
      <c s="5" r="P41"/>
      <c s="5" r="Q41"/>
      <c s="5" r="R41"/>
      <c s="5" r="S41"/>
      <c s="5" r="T41"/>
      <c s="5" r="U41"/>
      <c s="5" r="V41"/>
      <c s="5" r="W41"/>
      <c s="5" r="X41"/>
      <c s="5" r="Y41"/>
      <c s="5" r="Z41"/>
      <c s="5" r="AA41"/>
      <c s="5" r="AB41"/>
    </row>
    <row customHeight="1" r="42" ht="12.75">
      <c s="4" r="A42">
        <v>33.0</v>
      </c>
      <c s="4" r="B42">
        <v>63.0</v>
      </c>
      <c t="s" s="5" r="C42">
        <v>349</v>
      </c>
      <c s="6" r="D42">
        <v>1.0</v>
      </c>
      <c t="s" s="5" r="E42">
        <v>350</v>
      </c>
      <c t="s" s="5" r="F42">
        <v>351</v>
      </c>
      <c s="5" r="G42"/>
      <c t="s" s="7" r="H42">
        <v>352</v>
      </c>
      <c s="8" r="I42">
        <v>29594.0</v>
      </c>
      <c t="str" s="9" r="J42">
        <f>2014-1981</f>
        <v>33</v>
      </c>
      <c t="s" s="5" r="K42">
        <v>353</v>
      </c>
      <c s="6" r="L42">
        <v>8.0</v>
      </c>
      <c t="s" s="7" r="M42">
        <v>354</v>
      </c>
      <c s="5" r="N42"/>
      <c s="5" r="O42"/>
      <c s="5" r="P42"/>
      <c s="5" r="Q42"/>
      <c s="5" r="R42"/>
      <c s="5" r="S42"/>
      <c s="5" r="T42"/>
      <c s="5" r="U42"/>
      <c s="5" r="V42"/>
      <c s="5" r="W42"/>
      <c s="5" r="X42"/>
      <c s="5" r="Y42"/>
      <c s="5" r="Z42"/>
      <c s="5" r="AA42"/>
      <c s="5" r="AB42"/>
    </row>
    <row customHeight="1" r="43" ht="12.75">
      <c s="4" r="A43">
        <v>33.0</v>
      </c>
      <c s="4" r="B43">
        <v>63.0</v>
      </c>
      <c t="s" s="5" r="C43">
        <v>355</v>
      </c>
      <c s="6" r="D43">
        <v>1.0</v>
      </c>
      <c t="s" s="5" r="E43">
        <v>356</v>
      </c>
      <c t="s" s="5" r="F43">
        <v>357</v>
      </c>
      <c s="5" r="G43"/>
      <c t="s" s="7" r="H43">
        <v>358</v>
      </c>
      <c s="8" r="I43">
        <v>19929.0</v>
      </c>
      <c t="str" s="9" r="J43">
        <f>2014-1954</f>
        <v>60</v>
      </c>
      <c t="s" s="5" r="K43">
        <v>359</v>
      </c>
      <c s="6" r="L43">
        <v>5.0</v>
      </c>
      <c t="s" s="7" r="M43">
        <v>360</v>
      </c>
      <c s="5" r="N43"/>
      <c s="5" r="O43"/>
      <c s="5" r="P43"/>
      <c s="5" r="Q43"/>
      <c s="5" r="R43"/>
      <c s="5" r="S43"/>
      <c s="5" r="T43"/>
      <c s="5" r="U43"/>
      <c s="5" r="V43"/>
      <c s="5" r="W43"/>
      <c s="5" r="X43"/>
      <c s="5" r="Y43"/>
      <c s="5" r="Z43"/>
      <c s="5" r="AA43"/>
      <c s="5" r="AB43"/>
    </row>
    <row customHeight="1" r="44" ht="12.75">
      <c s="4" r="A44">
        <v>33.0</v>
      </c>
      <c s="4" r="B44">
        <v>63.0</v>
      </c>
      <c t="s" s="5" r="C44">
        <v>361</v>
      </c>
      <c s="6" r="D44">
        <v>1.0</v>
      </c>
      <c t="s" s="5" r="E44">
        <v>362</v>
      </c>
      <c t="s" s="5" r="F44">
        <v>363</v>
      </c>
      <c t="s" s="4" r="G44">
        <v>364</v>
      </c>
      <c t="s" s="7" r="H44">
        <v>365</v>
      </c>
      <c s="8" r="I44">
        <v>18635.0</v>
      </c>
      <c t="str" s="9" r="J44">
        <f>2014-1951</f>
        <v>63</v>
      </c>
      <c t="s" s="5" r="K44">
        <v>366</v>
      </c>
      <c s="6" r="L44">
        <v>2.0</v>
      </c>
      <c t="s" s="7" r="M44">
        <v>367</v>
      </c>
      <c s="5" r="N44"/>
      <c s="5" r="O44"/>
      <c s="5" r="P44"/>
      <c s="5" r="Q44"/>
      <c s="5" r="R44"/>
      <c s="5" r="S44"/>
      <c s="5" r="T44"/>
      <c s="5" r="U44"/>
      <c s="5" r="V44"/>
      <c s="5" r="W44"/>
      <c s="5" r="X44"/>
      <c s="5" r="Y44"/>
      <c s="5" r="Z44"/>
      <c s="5" r="AA44"/>
      <c s="5" r="AB44"/>
    </row>
    <row customHeight="1" r="45" ht="12.75">
      <c s="4" r="A45">
        <v>33.0</v>
      </c>
      <c s="4" r="B45">
        <v>63.0</v>
      </c>
      <c t="s" s="5" r="C45">
        <v>368</v>
      </c>
      <c s="6" r="D45">
        <v>1.0</v>
      </c>
      <c t="s" s="5" r="E45">
        <v>369</v>
      </c>
      <c t="s" s="5" r="F45">
        <v>370</v>
      </c>
      <c s="5" r="G45"/>
      <c t="s" s="7" r="H45">
        <v>371</v>
      </c>
      <c s="8" r="I45">
        <v>30029.0</v>
      </c>
      <c t="str" s="9" r="J45">
        <f>2014-1982</f>
        <v>32</v>
      </c>
      <c t="s" s="5" r="K45">
        <v>372</v>
      </c>
      <c s="6" r="L45">
        <v>4.0</v>
      </c>
      <c t="s" s="7" r="M45">
        <v>373</v>
      </c>
      <c s="5" r="N45"/>
      <c s="5" r="O45"/>
      <c s="5" r="P45"/>
      <c s="5" r="Q45"/>
      <c s="5" r="R45"/>
      <c s="5" r="S45"/>
      <c s="5" r="T45"/>
      <c s="5" r="U45"/>
      <c s="5" r="V45"/>
      <c s="5" r="W45"/>
      <c s="5" r="X45"/>
      <c s="5" r="Y45"/>
      <c s="5" r="Z45"/>
      <c s="5" r="AA45"/>
      <c s="5" r="AB45"/>
    </row>
    <row customHeight="1" r="46" ht="12.75">
      <c s="4" r="A46">
        <v>33.0</v>
      </c>
      <c s="4" r="B46">
        <v>63.0</v>
      </c>
      <c t="s" s="5" r="C46">
        <v>374</v>
      </c>
      <c s="6" r="D46">
        <v>1.0</v>
      </c>
      <c t="s" s="5" r="E46">
        <v>375</v>
      </c>
      <c t="s" s="5" r="F46">
        <v>376</v>
      </c>
      <c s="5" r="G46"/>
      <c t="s" s="7" r="H46">
        <v>377</v>
      </c>
      <c s="8" r="I46">
        <v>20559.0</v>
      </c>
      <c t="str" s="9" r="J46">
        <f>2014-1956</f>
        <v>58</v>
      </c>
      <c t="s" s="5" r="K46">
        <v>378</v>
      </c>
      <c s="6" r="L46">
        <v>1.0</v>
      </c>
      <c t="s" s="7" r="M46">
        <v>379</v>
      </c>
      <c s="5" r="N46"/>
      <c s="5" r="O46"/>
      <c s="5" r="P46"/>
      <c s="5" r="Q46"/>
      <c s="5" r="R46"/>
      <c s="5" r="S46"/>
      <c s="5" r="T46"/>
      <c s="5" r="U46"/>
      <c s="5" r="V46"/>
      <c s="5" r="W46"/>
      <c s="5" r="X46"/>
      <c s="5" r="Y46"/>
      <c s="5" r="Z46"/>
      <c s="5" r="AA46"/>
      <c s="5" r="AB46"/>
    </row>
    <row customHeight="1" r="47" ht="12.75">
      <c s="4" r="A47">
        <v>33.0</v>
      </c>
      <c s="4" r="B47">
        <v>63.0</v>
      </c>
      <c t="s" s="5" r="C47">
        <v>380</v>
      </c>
      <c s="6" r="D47">
        <v>1.0</v>
      </c>
      <c t="s" s="5" r="E47">
        <v>381</v>
      </c>
      <c t="s" s="5" r="F47">
        <v>382</v>
      </c>
      <c s="5" r="G47"/>
      <c t="s" s="7" r="H47">
        <v>383</v>
      </c>
      <c s="8" r="I47">
        <v>32303.0</v>
      </c>
      <c t="str" s="9" r="J47">
        <f>2014-1988</f>
        <v>26</v>
      </c>
      <c t="s" s="5" r="K47">
        <v>384</v>
      </c>
      <c s="6" r="L47">
        <v>3.0</v>
      </c>
      <c t="s" s="7" r="M47">
        <v>385</v>
      </c>
      <c s="5" r="N47"/>
      <c s="5" r="O47"/>
      <c s="5" r="P47"/>
      <c s="5" r="Q47"/>
      <c s="5" r="R47"/>
      <c s="5" r="S47"/>
      <c s="5" r="T47"/>
      <c s="5" r="U47"/>
      <c s="5" r="V47"/>
      <c s="5" r="W47"/>
      <c s="5" r="X47"/>
      <c s="5" r="Y47"/>
      <c s="5" r="Z47"/>
      <c s="5" r="AA47"/>
      <c s="5" r="AB47"/>
    </row>
    <row customHeight="1" r="48" ht="12.75">
      <c s="4" r="A48">
        <v>33.0</v>
      </c>
      <c s="4" r="B48">
        <v>63.0</v>
      </c>
      <c t="s" s="5" r="C48">
        <v>386</v>
      </c>
      <c s="6" r="D48">
        <v>1.0</v>
      </c>
      <c t="s" s="5" r="E48">
        <v>387</v>
      </c>
      <c t="s" s="5" r="F48">
        <v>388</v>
      </c>
      <c s="5" r="G48"/>
      <c t="s" s="7" r="H48">
        <v>389</v>
      </c>
      <c s="8" r="I48">
        <v>22641.0</v>
      </c>
      <c t="str" s="9" r="J48">
        <f>2014-1961</f>
        <v>53</v>
      </c>
      <c t="s" s="5" r="K48">
        <v>390</v>
      </c>
      <c s="6" r="L48">
        <v>3.0</v>
      </c>
      <c t="s" s="7" r="M48">
        <v>391</v>
      </c>
      <c s="5" r="N48"/>
      <c s="5" r="O48"/>
      <c s="5" r="P48"/>
      <c s="5" r="Q48"/>
      <c s="5" r="R48"/>
      <c s="5" r="S48"/>
      <c s="5" r="T48"/>
      <c s="5" r="U48"/>
      <c s="5" r="V48"/>
      <c s="5" r="W48"/>
      <c s="5" r="X48"/>
      <c s="5" r="Y48"/>
      <c s="5" r="Z48"/>
      <c s="5" r="AA48"/>
      <c s="5" r="AB48"/>
    </row>
    <row customHeight="1" r="49" ht="12.75">
      <c s="4" r="A49">
        <v>33.0</v>
      </c>
      <c s="4" r="B49">
        <v>63.0</v>
      </c>
      <c t="s" s="5" r="C49">
        <v>392</v>
      </c>
      <c s="6" r="D49">
        <v>1.0</v>
      </c>
      <c t="s" s="5" r="E49">
        <v>393</v>
      </c>
      <c t="s" s="5" r="F49">
        <v>394</v>
      </c>
      <c t="s" s="4" r="G49">
        <v>395</v>
      </c>
      <c t="s" s="7" r="H49">
        <v>396</v>
      </c>
      <c s="8" r="I49">
        <v>24326.0</v>
      </c>
      <c t="str" s="9" r="J49">
        <f>2014-1966</f>
        <v>48</v>
      </c>
      <c t="s" s="5" r="K49">
        <v>397</v>
      </c>
      <c s="6" r="L49">
        <v>8.0</v>
      </c>
      <c t="s" s="7" r="M49">
        <v>398</v>
      </c>
      <c s="5" r="N49"/>
      <c s="5" r="O49"/>
      <c s="5" r="P49"/>
      <c s="5" r="Q49"/>
      <c s="5" r="R49"/>
      <c s="5" r="S49"/>
      <c s="5" r="T49"/>
      <c s="5" r="U49"/>
      <c s="5" r="V49"/>
      <c s="5" r="W49"/>
      <c s="5" r="X49"/>
      <c s="5" r="Y49"/>
      <c s="5" r="Z49"/>
      <c s="5" r="AA49"/>
      <c s="5" r="AB49"/>
    </row>
    <row customHeight="1" r="50" ht="12.75">
      <c s="4" r="A50">
        <v>33.0</v>
      </c>
      <c s="4" r="B50">
        <v>63.0</v>
      </c>
      <c t="s" s="5" r="C50">
        <v>399</v>
      </c>
      <c s="6" r="D50">
        <v>1.0</v>
      </c>
      <c t="s" s="5" r="E50">
        <v>400</v>
      </c>
      <c t="s" s="5" r="F50">
        <v>401</v>
      </c>
      <c t="s" s="4" r="G50">
        <v>402</v>
      </c>
      <c t="s" s="7" r="H50">
        <v>403</v>
      </c>
      <c s="8" r="I50">
        <v>20379.0</v>
      </c>
      <c t="str" s="9" r="J50">
        <f>2014-1955</f>
        <v>59</v>
      </c>
      <c t="s" s="5" r="K50">
        <v>404</v>
      </c>
      <c s="6" r="L50">
        <v>4.0</v>
      </c>
      <c t="s" s="7" r="M50">
        <v>405</v>
      </c>
      <c s="5" r="N50"/>
      <c s="5" r="O50"/>
      <c s="5" r="P50"/>
      <c s="5" r="Q50"/>
      <c s="5" r="R50"/>
      <c s="5" r="S50"/>
      <c s="5" r="T50"/>
      <c s="5" r="U50"/>
      <c s="5" r="V50"/>
      <c s="5" r="W50"/>
      <c s="5" r="X50"/>
      <c s="5" r="Y50"/>
      <c s="5" r="Z50"/>
      <c s="5" r="AA50"/>
      <c s="5" r="AB50"/>
    </row>
    <row customHeight="1" r="51" ht="12.75">
      <c s="4" r="A51">
        <v>33.0</v>
      </c>
      <c s="4" r="B51">
        <v>63.0</v>
      </c>
      <c t="s" s="5" r="C51">
        <v>406</v>
      </c>
      <c s="6" r="D51">
        <v>1.0</v>
      </c>
      <c t="s" s="5" r="E51">
        <v>407</v>
      </c>
      <c t="s" s="5" r="F51">
        <v>408</v>
      </c>
      <c s="5" r="G51"/>
      <c t="s" s="7" r="H51">
        <v>409</v>
      </c>
      <c s="8" r="I51">
        <v>18113.0</v>
      </c>
      <c t="str" s="9" r="J51">
        <f>2014-1949</f>
        <v>65</v>
      </c>
      <c t="s" s="5" r="K51">
        <v>410</v>
      </c>
      <c s="6" r="L51">
        <v>3.0</v>
      </c>
      <c t="s" s="7" r="M51">
        <v>411</v>
      </c>
      <c s="5" r="N51"/>
      <c s="5" r="O51"/>
      <c s="5" r="P51"/>
      <c s="5" r="Q51"/>
      <c s="5" r="R51"/>
      <c s="5" r="S51"/>
      <c s="5" r="T51"/>
      <c s="5" r="U51"/>
      <c s="5" r="V51"/>
      <c s="5" r="W51"/>
      <c s="5" r="X51"/>
      <c s="5" r="Y51"/>
      <c s="5" r="Z51"/>
      <c s="5" r="AA51"/>
      <c s="5" r="AB51"/>
    </row>
    <row customHeight="1" r="52" ht="12.75">
      <c s="4" r="A52">
        <v>33.0</v>
      </c>
      <c s="4" r="B52">
        <v>63.0</v>
      </c>
      <c t="s" s="5" r="C52">
        <v>412</v>
      </c>
      <c s="6" r="D52">
        <v>1.0</v>
      </c>
      <c t="s" s="5" r="E52">
        <v>413</v>
      </c>
      <c t="s" s="5" r="F52">
        <v>414</v>
      </c>
      <c s="5" r="G52"/>
      <c t="s" s="7" r="H52">
        <v>415</v>
      </c>
      <c s="8" r="I52">
        <v>28121.0</v>
      </c>
      <c t="str" s="9" r="J52">
        <f>2014-1976</f>
        <v>38</v>
      </c>
      <c t="s" s="5" r="K52">
        <v>416</v>
      </c>
      <c s="6" r="L52">
        <v>3.0</v>
      </c>
      <c t="s" s="7" r="M52">
        <v>417</v>
      </c>
      <c s="5" r="N52"/>
      <c s="5" r="O52"/>
      <c s="5" r="P52"/>
      <c s="5" r="Q52"/>
      <c s="5" r="R52"/>
      <c s="5" r="S52"/>
      <c s="5" r="T52"/>
      <c s="5" r="U52"/>
      <c s="5" r="V52"/>
      <c s="5" r="W52"/>
      <c s="5" r="X52"/>
      <c s="5" r="Y52"/>
      <c s="5" r="Z52"/>
      <c s="5" r="AA52"/>
      <c s="5" r="AB52"/>
    </row>
    <row customHeight="1" r="53" ht="12.75">
      <c s="4" r="A53">
        <v>33.0</v>
      </c>
      <c s="4" r="B53">
        <v>63.0</v>
      </c>
      <c t="s" s="5" r="C53">
        <v>418</v>
      </c>
      <c s="6" r="D53">
        <v>1.0</v>
      </c>
      <c t="s" s="5" r="E53">
        <v>419</v>
      </c>
      <c t="s" s="5" r="F53">
        <v>420</v>
      </c>
      <c t="s" s="4" r="G53">
        <v>421</v>
      </c>
      <c t="s" s="7" r="H53">
        <v>422</v>
      </c>
      <c s="8" r="I53">
        <v>31038.0</v>
      </c>
      <c t="str" s="9" r="J53">
        <f>2014-1984</f>
        <v>30</v>
      </c>
      <c t="s" s="5" r="K53">
        <v>423</v>
      </c>
      <c s="6" r="L53">
        <v>4.0</v>
      </c>
      <c t="s" s="7" r="M53">
        <v>424</v>
      </c>
      <c s="5" r="N53"/>
      <c s="5" r="O53"/>
      <c s="5" r="P53"/>
      <c s="5" r="Q53"/>
      <c s="5" r="R53"/>
      <c s="5" r="S53"/>
      <c s="5" r="T53"/>
      <c s="5" r="U53"/>
      <c s="5" r="V53"/>
      <c s="5" r="W53"/>
      <c s="5" r="X53"/>
      <c s="5" r="Y53"/>
      <c s="5" r="Z53"/>
      <c s="5" r="AA53"/>
      <c s="5" r="AB53"/>
    </row>
    <row customHeight="1" r="54" ht="12.75">
      <c s="4" r="A54">
        <v>33.0</v>
      </c>
      <c s="4" r="B54">
        <v>63.0</v>
      </c>
      <c t="s" s="5" r="C54">
        <v>425</v>
      </c>
      <c s="6" r="D54">
        <v>1.0</v>
      </c>
      <c t="s" s="5" r="E54">
        <v>426</v>
      </c>
      <c t="s" s="5" r="F54">
        <v>427</v>
      </c>
      <c s="5" r="G54"/>
      <c t="s" s="7" r="H54">
        <v>428</v>
      </c>
      <c s="8" r="I54">
        <v>28418.0</v>
      </c>
      <c t="str" s="9" r="J54">
        <f>2014-1977</f>
        <v>37</v>
      </c>
      <c t="s" s="5" r="K54">
        <v>429</v>
      </c>
      <c s="6" r="L54">
        <v>2.0</v>
      </c>
      <c t="s" s="7" r="M54">
        <v>430</v>
      </c>
      <c s="5" r="N54"/>
      <c s="5" r="O54"/>
      <c s="5" r="P54"/>
      <c s="5" r="Q54"/>
      <c s="5" r="R54"/>
      <c s="5" r="S54"/>
      <c s="5" r="T54"/>
      <c s="5" r="U54"/>
      <c s="5" r="V54"/>
      <c s="5" r="W54"/>
      <c s="5" r="X54"/>
      <c s="5" r="Y54"/>
      <c s="5" r="Z54"/>
      <c s="5" r="AA54"/>
      <c s="5" r="AB54"/>
    </row>
    <row customHeight="1" r="55" ht="12.75">
      <c s="4" r="A55">
        <v>33.0</v>
      </c>
      <c s="4" r="B55">
        <v>63.0</v>
      </c>
      <c t="s" s="5" r="C55">
        <v>431</v>
      </c>
      <c s="6" r="D55">
        <v>1.0</v>
      </c>
      <c t="s" s="5" r="E55">
        <v>432</v>
      </c>
      <c t="s" s="5" r="F55">
        <v>433</v>
      </c>
      <c t="s" s="4" r="G55">
        <v>434</v>
      </c>
      <c t="s" s="7" r="H55">
        <v>435</v>
      </c>
      <c s="8" r="I55">
        <v>26364.0</v>
      </c>
      <c t="str" s="9" r="J55">
        <f>2014-1972</f>
        <v>42</v>
      </c>
      <c t="s" s="5" r="K55">
        <v>436</v>
      </c>
      <c s="6" r="L55">
        <v>3.0</v>
      </c>
      <c t="s" s="7" r="M55">
        <v>437</v>
      </c>
      <c s="5" r="N55"/>
      <c s="5" r="O55"/>
      <c s="5" r="P55"/>
      <c s="5" r="Q55"/>
      <c s="5" r="R55"/>
      <c s="5" r="S55"/>
      <c s="5" r="T55"/>
      <c s="5" r="U55"/>
      <c s="5" r="V55"/>
      <c s="5" r="W55"/>
      <c s="5" r="X55"/>
      <c s="5" r="Y55"/>
      <c s="5" r="Z55"/>
      <c s="5" r="AA55"/>
      <c s="5" r="AB55"/>
    </row>
    <row customHeight="1" r="56" ht="12.75">
      <c s="4" r="A56">
        <v>33.0</v>
      </c>
      <c s="4" r="B56">
        <v>63.0</v>
      </c>
      <c t="s" s="5" r="C56">
        <v>438</v>
      </c>
      <c s="6" r="D56">
        <v>1.0</v>
      </c>
      <c t="s" s="5" r="E56">
        <v>439</v>
      </c>
      <c t="s" s="5" r="F56">
        <v>440</v>
      </c>
      <c s="5" r="G56"/>
      <c t="s" s="7" r="H56">
        <v>441</v>
      </c>
      <c s="8" r="I56">
        <v>22772.0</v>
      </c>
      <c t="str" s="9" r="J56">
        <f>2014-1962</f>
        <v>52</v>
      </c>
      <c t="s" s="5" r="K56">
        <v>442</v>
      </c>
      <c s="6" r="L56">
        <v>3.0</v>
      </c>
      <c t="s" s="7" r="M56">
        <v>443</v>
      </c>
      <c s="5" r="N56"/>
      <c s="5" r="O56"/>
      <c s="5" r="P56"/>
      <c s="5" r="Q56"/>
      <c s="5" r="R56"/>
      <c s="5" r="S56"/>
      <c s="5" r="T56"/>
      <c s="5" r="U56"/>
      <c s="5" r="V56"/>
      <c s="5" r="W56"/>
      <c s="5" r="X56"/>
      <c s="5" r="Y56"/>
      <c s="5" r="Z56"/>
      <c s="5" r="AA56"/>
      <c s="5" r="AB56"/>
    </row>
    <row customHeight="1" r="57" ht="12.75">
      <c s="4" r="A57">
        <v>33.0</v>
      </c>
      <c s="4" r="B57">
        <v>63.0</v>
      </c>
      <c t="s" s="5" r="C57">
        <v>444</v>
      </c>
      <c s="6" r="D57">
        <v>1.0</v>
      </c>
      <c t="s" s="5" r="E57">
        <v>445</v>
      </c>
      <c t="s" s="5" r="F57">
        <v>446</v>
      </c>
      <c t="s" s="4" r="G57">
        <v>447</v>
      </c>
      <c t="s" s="7" r="H57">
        <v>448</v>
      </c>
      <c s="8" r="I57">
        <v>25144.0</v>
      </c>
      <c t="str" s="9" r="J57">
        <f>2014-1968</f>
        <v>46</v>
      </c>
      <c t="s" s="5" r="K57">
        <v>449</v>
      </c>
      <c s="6" r="L57">
        <v>2.0</v>
      </c>
      <c t="s" s="7" r="M57">
        <v>450</v>
      </c>
      <c s="5" r="N57"/>
      <c s="5" r="O57"/>
      <c s="5" r="P57"/>
      <c s="5" r="Q57"/>
      <c s="5" r="R57"/>
      <c s="5" r="S57"/>
      <c s="5" r="T57"/>
      <c s="5" r="U57"/>
      <c s="5" r="V57"/>
      <c s="5" r="W57"/>
      <c s="5" r="X57"/>
      <c s="5" r="Y57"/>
      <c s="5" r="Z57"/>
      <c s="5" r="AA57"/>
      <c s="5" r="AB57"/>
    </row>
    <row customHeight="1" r="58" ht="12.75">
      <c s="4" r="A58">
        <v>33.0</v>
      </c>
      <c s="4" r="B58">
        <v>63.0</v>
      </c>
      <c t="s" s="5" r="C58">
        <v>451</v>
      </c>
      <c s="6" r="D58">
        <v>1.0</v>
      </c>
      <c t="s" s="5" r="E58">
        <v>452</v>
      </c>
      <c t="s" s="5" r="F58">
        <v>453</v>
      </c>
      <c t="s" s="4" r="G58">
        <v>454</v>
      </c>
      <c t="s" s="7" r="H58">
        <v>455</v>
      </c>
      <c s="8" r="I58">
        <v>17723.0</v>
      </c>
      <c t="str" s="9" r="J58">
        <f>2014-1948</f>
        <v>66</v>
      </c>
      <c t="s" s="5" r="K58">
        <v>456</v>
      </c>
      <c s="6" r="L58">
        <v>2.0</v>
      </c>
      <c t="s" s="7" r="M58">
        <v>457</v>
      </c>
      <c s="5" r="N58"/>
      <c s="5" r="O58"/>
      <c s="5" r="P58"/>
      <c s="5" r="Q58"/>
      <c s="5" r="R58"/>
      <c s="5" r="S58"/>
      <c s="5" r="T58"/>
      <c s="5" r="U58"/>
      <c s="5" r="V58"/>
      <c s="5" r="W58"/>
      <c s="5" r="X58"/>
      <c s="5" r="Y58"/>
      <c s="5" r="Z58"/>
      <c s="5" r="AA58"/>
      <c s="5" r="AB58"/>
    </row>
    <row customHeight="1" r="59" ht="12.75">
      <c s="4" r="A59">
        <v>33.0</v>
      </c>
      <c s="4" r="B59">
        <v>63.0</v>
      </c>
      <c t="s" s="5" r="C59">
        <v>458</v>
      </c>
      <c s="6" r="D59">
        <v>1.0</v>
      </c>
      <c t="s" s="5" r="E59">
        <v>459</v>
      </c>
      <c t="s" s="5" r="F59">
        <v>460</v>
      </c>
      <c s="5" r="G59"/>
      <c t="s" s="7" r="H59">
        <v>461</v>
      </c>
      <c s="8" r="I59">
        <v>18587.0</v>
      </c>
      <c t="str" s="9" r="J59">
        <f>2014-1950</f>
        <v>64</v>
      </c>
      <c t="s" s="5" r="K59">
        <v>462</v>
      </c>
      <c s="6" r="L59">
        <v>3.0</v>
      </c>
      <c t="s" s="7" r="M59">
        <v>463</v>
      </c>
      <c s="5" r="N59"/>
      <c s="5" r="O59"/>
      <c s="5" r="P59"/>
      <c s="5" r="Q59"/>
      <c s="5" r="R59"/>
      <c s="5" r="S59"/>
      <c s="5" r="T59"/>
      <c s="5" r="U59"/>
      <c s="5" r="V59"/>
      <c s="5" r="W59"/>
      <c s="5" r="X59"/>
      <c s="5" r="Y59"/>
      <c s="5" r="Z59"/>
      <c s="5" r="AA59"/>
      <c s="5" r="AB59"/>
    </row>
    <row customHeight="1" r="60" ht="12.75">
      <c s="4" r="A60">
        <v>33.0</v>
      </c>
      <c s="4" r="B60">
        <v>63.0</v>
      </c>
      <c t="s" s="5" r="C60">
        <v>464</v>
      </c>
      <c s="6" r="D60">
        <v>1.0</v>
      </c>
      <c t="s" s="5" r="E60">
        <v>465</v>
      </c>
      <c t="s" s="5" r="F60">
        <v>466</v>
      </c>
      <c t="s" s="4" r="G60">
        <v>467</v>
      </c>
      <c t="s" s="7" r="H60">
        <v>468</v>
      </c>
      <c s="8" r="I60">
        <v>20406.0</v>
      </c>
      <c t="str" s="9" r="J60">
        <f>2014-1955</f>
        <v>59</v>
      </c>
      <c t="s" s="5" r="K60">
        <v>469</v>
      </c>
      <c s="6" r="L60">
        <v>3.0</v>
      </c>
      <c t="s" s="7" r="M60">
        <v>470</v>
      </c>
      <c s="5" r="N60"/>
      <c s="5" r="O60"/>
      <c s="5" r="P60"/>
      <c s="5" r="Q60"/>
      <c s="5" r="R60"/>
      <c s="5" r="S60"/>
      <c s="5" r="T60"/>
      <c s="5" r="U60"/>
      <c s="5" r="V60"/>
      <c s="5" r="W60"/>
      <c s="5" r="X60"/>
      <c s="5" r="Y60"/>
      <c s="5" r="Z60"/>
      <c s="5" r="AA60"/>
      <c s="5" r="AB60"/>
    </row>
    <row customHeight="1" r="61" ht="12.75">
      <c s="4" r="A61">
        <v>33.0</v>
      </c>
      <c s="4" r="B61">
        <v>63.0</v>
      </c>
      <c t="s" s="5" r="C61">
        <v>471</v>
      </c>
      <c s="6" r="D61">
        <v>1.0</v>
      </c>
      <c t="s" s="5" r="E61">
        <v>472</v>
      </c>
      <c t="s" s="5" r="F61">
        <v>473</v>
      </c>
      <c s="5" r="G61"/>
      <c t="s" s="7" r="H61">
        <v>474</v>
      </c>
      <c s="8" r="I61">
        <v>22156.0</v>
      </c>
      <c t="str" s="9" r="J61">
        <f>2014-1960</f>
        <v>54</v>
      </c>
      <c t="s" s="5" r="K61">
        <v>475</v>
      </c>
      <c s="6" r="L61">
        <v>3.0</v>
      </c>
      <c t="s" s="7" r="M61">
        <v>476</v>
      </c>
      <c s="5" r="N61"/>
      <c s="5" r="O61"/>
      <c s="5" r="P61"/>
      <c s="5" r="Q61"/>
      <c s="5" r="R61"/>
      <c s="5" r="S61"/>
      <c s="5" r="T61"/>
      <c s="5" r="U61"/>
      <c s="5" r="V61"/>
      <c s="5" r="W61"/>
      <c s="5" r="X61"/>
      <c s="5" r="Y61"/>
      <c s="5" r="Z61"/>
      <c s="5" r="AA61"/>
      <c s="5" r="AB61"/>
    </row>
    <row customHeight="1" r="62" ht="12.75">
      <c s="4" r="A62">
        <v>33.0</v>
      </c>
      <c s="4" r="B62">
        <v>63.0</v>
      </c>
      <c t="s" s="5" r="C62">
        <v>477</v>
      </c>
      <c s="6" r="D62">
        <v>1.0</v>
      </c>
      <c t="s" s="5" r="E62">
        <v>478</v>
      </c>
      <c t="s" s="5" r="F62">
        <v>479</v>
      </c>
      <c s="5" r="G62"/>
      <c t="s" s="7" r="H62">
        <v>480</v>
      </c>
      <c s="8" r="I62">
        <v>21456.0</v>
      </c>
      <c t="str" s="9" r="J62">
        <f>2014-1958</f>
        <v>56</v>
      </c>
      <c t="s" s="5" r="K62">
        <v>481</v>
      </c>
      <c s="6" r="L62">
        <v>3.0</v>
      </c>
      <c t="s" s="7" r="M62">
        <v>482</v>
      </c>
      <c s="5" r="N62"/>
      <c s="5" r="O62"/>
      <c s="5" r="P62"/>
      <c s="5" r="Q62"/>
      <c s="5" r="R62"/>
      <c s="5" r="S62"/>
      <c s="5" r="T62"/>
      <c s="5" r="U62"/>
      <c s="5" r="V62"/>
      <c s="5" r="W62"/>
      <c s="5" r="X62"/>
      <c s="5" r="Y62"/>
      <c s="5" r="Z62"/>
      <c s="5" r="AA62"/>
      <c s="5" r="AB62"/>
    </row>
    <row customHeight="1" r="63" ht="12.75">
      <c s="5" r="A63"/>
      <c s="5" r="B63"/>
      <c s="5" r="C63"/>
      <c s="7" r="D63"/>
      <c s="5" r="E63"/>
      <c s="5" r="F63"/>
      <c s="5" r="G63"/>
      <c s="7" r="H63"/>
      <c s="32" r="I63"/>
      <c s="33" r="J63"/>
      <c s="5" r="K63"/>
      <c s="5" r="L63"/>
      <c s="7" r="M63"/>
      <c s="5" r="N63"/>
      <c s="5" r="O63"/>
      <c s="5" r="P63"/>
      <c s="5" r="Q63"/>
      <c s="5" r="R63"/>
      <c s="5" r="S63"/>
      <c s="5" r="T63"/>
      <c s="5" r="U63"/>
      <c s="5" r="V63"/>
      <c s="5" r="W63"/>
      <c s="5" r="X63"/>
      <c s="5" r="Y63"/>
      <c s="5" r="Z63"/>
      <c s="5" r="AA63"/>
      <c s="5" r="AB63"/>
    </row>
    <row customHeight="1" r="64" ht="12.75">
      <c s="5" r="A64"/>
      <c s="5" r="B64"/>
      <c s="5" r="C64"/>
      <c s="7" r="D64"/>
      <c s="5" r="E64"/>
      <c t="s" s="34" r="F64">
        <v>483</v>
      </c>
      <c t="str" r="G64">
        <f>sumif(G2:G62,"Adjoint",D2:D62)+1</f>
        <v>25</v>
      </c>
      <c s="35" r="H64"/>
      <c s="32" r="I64"/>
      <c s="33" r="J64"/>
      <c s="5" r="K64"/>
      <c s="5" r="L64"/>
      <c s="7" r="M64"/>
      <c s="5" r="N64"/>
      <c s="5" r="O64"/>
      <c s="5" r="P64"/>
      <c s="5" r="Q64"/>
      <c s="5" r="R64"/>
      <c s="5" r="S64"/>
      <c s="5" r="T64"/>
      <c s="5" r="U64"/>
      <c s="5" r="V64"/>
      <c s="5" r="W64"/>
      <c s="5" r="X64"/>
      <c s="5" r="Y64"/>
      <c s="5" r="Z64"/>
      <c s="5" r="AA64"/>
      <c s="5" r="AB64"/>
    </row>
    <row customHeight="1" r="65" ht="12.75">
      <c s="5" r="A65"/>
      <c s="5" r="B65"/>
      <c s="5" r="C65"/>
      <c s="7" r="D65"/>
      <c s="5" r="E65"/>
      <c s="35" r="H65"/>
      <c s="32" r="I65"/>
      <c s="33" r="J65"/>
      <c s="5" r="K65"/>
      <c s="5" r="L65"/>
      <c s="7" r="M65"/>
      <c s="5" r="N65"/>
      <c s="5" r="O65"/>
      <c s="5" r="P65"/>
      <c s="5" r="Q65"/>
      <c s="5" r="R65"/>
      <c s="5" r="S65"/>
      <c s="5" r="T65"/>
      <c s="5" r="U65"/>
      <c s="5" r="V65"/>
      <c s="5" r="W65"/>
      <c s="5" r="X65"/>
      <c s="5" r="Y65"/>
      <c s="5" r="Z65"/>
      <c s="5" r="AA65"/>
      <c s="5" r="AB65"/>
    </row>
  </sheetData>
  <autoFilter ref="$H$1:$H$62">
    <filterColumn colId="0">
      <filters>
        <filter val="M"/>
        <filter val="F"/>
      </filters>
    </filterColumn>
  </autoFilter>
  <mergeCells count="12">
    <mergeCell ref="P2:Q2"/>
    <mergeCell ref="S2:T2"/>
    <mergeCell ref="P6:Q6"/>
    <mergeCell ref="AA2:AB2"/>
    <mergeCell ref="S24:T24"/>
    <mergeCell ref="S28:T28"/>
    <mergeCell ref="S27:T27"/>
    <mergeCell ref="W21:W28"/>
    <mergeCell ref="S23:T23"/>
    <mergeCell ref="W31:X31"/>
    <mergeCell ref="W30:X30"/>
    <mergeCell ref="W13:W2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30.43"/>
    <col min="2" customWidth="1" max="2" width="37.71"/>
  </cols>
  <sheetData>
    <row r="1">
      <c t="s" s="36" r="A1">
        <v>484</v>
      </c>
    </row>
    <row r="2">
      <c s="37" r="A2"/>
      <c t="s" s="38" r="B2">
        <v>485</v>
      </c>
      <c t="s" s="38" r="C2">
        <v>486</v>
      </c>
    </row>
    <row r="3">
      <c t="s" s="39" r="A3">
        <v>487</v>
      </c>
      <c s="40" r="B3">
        <v>61.0</v>
      </c>
      <c s="40" r="C3">
        <v>61.0</v>
      </c>
    </row>
    <row r="4">
      <c t="s" s="39" r="A4">
        <v>488</v>
      </c>
      <c s="40" r="B4">
        <v>36.0</v>
      </c>
      <c s="40" r="C4">
        <v>36.0</v>
      </c>
    </row>
    <row r="5">
      <c s="41" r="A5"/>
    </row>
    <row r="6">
      <c t="s" s="42" r="A6">
        <v>489</v>
      </c>
      <c t="s" s="42" r="B6">
        <v>490</v>
      </c>
      <c t="s" s="38" r="C6">
        <v>491</v>
      </c>
    </row>
    <row r="7">
      <c t="s" s="43" r="A7">
        <v>492</v>
      </c>
      <c t="s" s="43" r="B7">
        <v>493</v>
      </c>
      <c t="s" s="44" r="C7">
        <v>494</v>
      </c>
    </row>
    <row r="8">
      <c t="s" s="39" r="B8">
        <v>495</v>
      </c>
      <c t="s" s="40" r="C8">
        <v>496</v>
      </c>
    </row>
    <row r="9">
      <c t="s" s="43" r="B9">
        <v>497</v>
      </c>
      <c t="s" s="44" r="C9">
        <v>498</v>
      </c>
    </row>
    <row r="10">
      <c t="s" s="39" r="B10">
        <v>499</v>
      </c>
      <c t="s" s="40" r="C10">
        <v>500</v>
      </c>
    </row>
    <row r="11">
      <c t="s" s="43" r="B11">
        <v>501</v>
      </c>
      <c t="s" s="44" r="C11">
        <v>502</v>
      </c>
    </row>
    <row r="12">
      <c t="s" s="39" r="B12">
        <v>503</v>
      </c>
      <c t="s" s="40" r="C12">
        <v>504</v>
      </c>
    </row>
    <row r="13">
      <c t="s" s="43" r="B13">
        <v>505</v>
      </c>
      <c t="s" s="44" r="C13">
        <v>506</v>
      </c>
    </row>
    <row r="14">
      <c t="s" s="39" r="B14">
        <v>507</v>
      </c>
      <c t="s" s="40" r="C14">
        <v>508</v>
      </c>
    </row>
    <row r="15">
      <c t="s" s="43" r="B15">
        <v>509</v>
      </c>
      <c t="s" s="44" r="C15">
        <v>510</v>
      </c>
    </row>
    <row r="16">
      <c t="s" s="39" r="B16">
        <v>511</v>
      </c>
      <c t="s" s="40" r="C16">
        <v>512</v>
      </c>
    </row>
    <row r="17">
      <c t="s" s="43" r="B17">
        <v>513</v>
      </c>
      <c t="s" s="44" r="C17">
        <v>514</v>
      </c>
    </row>
    <row r="18">
      <c t="s" s="39" r="B18">
        <v>515</v>
      </c>
      <c t="s" s="40" r="C18">
        <v>516</v>
      </c>
    </row>
    <row r="19">
      <c t="s" s="43" r="B19">
        <v>517</v>
      </c>
      <c t="s" s="44" r="C19">
        <v>518</v>
      </c>
    </row>
    <row r="20">
      <c t="s" s="39" r="B20">
        <v>519</v>
      </c>
      <c t="s" s="40" r="C20">
        <v>520</v>
      </c>
    </row>
    <row r="21">
      <c t="s" s="43" r="B21">
        <v>521</v>
      </c>
      <c t="s" s="44" r="C21">
        <v>522</v>
      </c>
    </row>
    <row r="22">
      <c t="s" s="39" r="B22">
        <v>523</v>
      </c>
      <c t="s" s="40" r="C22">
        <v>524</v>
      </c>
    </row>
    <row r="23">
      <c t="s" s="43" r="B23">
        <v>525</v>
      </c>
      <c t="s" s="44" r="C23">
        <v>526</v>
      </c>
    </row>
    <row r="24">
      <c t="s" s="39" r="B24">
        <v>527</v>
      </c>
      <c t="s" s="40" r="C24">
        <v>528</v>
      </c>
    </row>
    <row r="25">
      <c t="s" s="43" r="B25">
        <v>529</v>
      </c>
      <c t="s" s="44" r="C25">
        <v>530</v>
      </c>
    </row>
    <row r="26">
      <c t="s" s="39" r="B26">
        <v>531</v>
      </c>
      <c t="s" s="40" r="C26">
        <v>532</v>
      </c>
    </row>
    <row r="27">
      <c t="s" s="43" r="B27">
        <v>533</v>
      </c>
      <c t="s" s="44" r="C27">
        <v>534</v>
      </c>
    </row>
    <row r="28">
      <c t="s" s="39" r="B28">
        <v>535</v>
      </c>
      <c t="s" s="40" r="C28">
        <v>536</v>
      </c>
    </row>
    <row r="29">
      <c t="s" s="43" r="B29">
        <v>537</v>
      </c>
      <c t="s" s="44" r="C29">
        <v>538</v>
      </c>
    </row>
    <row r="30">
      <c t="s" s="39" r="B30">
        <v>539</v>
      </c>
      <c t="s" s="40" r="C30">
        <v>540</v>
      </c>
    </row>
    <row r="31">
      <c t="s" s="43" r="B31">
        <v>541</v>
      </c>
      <c t="s" s="44" r="C31">
        <v>542</v>
      </c>
    </row>
    <row r="32">
      <c t="s" s="39" r="B32">
        <v>543</v>
      </c>
      <c t="s" s="40" r="C32">
        <v>544</v>
      </c>
    </row>
    <row r="33">
      <c t="s" s="43" r="B33">
        <v>545</v>
      </c>
      <c t="s" s="44" r="C33">
        <v>546</v>
      </c>
    </row>
    <row r="34">
      <c t="s" s="39" r="B34">
        <v>547</v>
      </c>
      <c t="s" s="40" r="C34">
        <v>548</v>
      </c>
    </row>
    <row r="35">
      <c t="s" s="43" r="B35">
        <v>549</v>
      </c>
      <c t="s" s="44" r="C35">
        <v>550</v>
      </c>
    </row>
    <row r="36">
      <c t="s" s="39" r="B36">
        <v>551</v>
      </c>
      <c t="s" s="40" r="C36">
        <v>552</v>
      </c>
    </row>
    <row r="37">
      <c t="s" s="43" r="B37">
        <v>553</v>
      </c>
      <c t="s" s="44" r="C37">
        <v>554</v>
      </c>
    </row>
    <row r="38">
      <c t="s" s="39" r="B38">
        <v>555</v>
      </c>
      <c s="45" r="C38"/>
    </row>
    <row r="39">
      <c t="s" s="43" r="B39">
        <v>556</v>
      </c>
      <c s="46" r="C39"/>
    </row>
    <row r="40">
      <c t="s" s="39" r="B40">
        <v>557</v>
      </c>
      <c s="45" r="C40"/>
    </row>
    <row r="41">
      <c t="s" s="43" r="B41">
        <v>558</v>
      </c>
      <c s="46" r="C41"/>
    </row>
    <row r="42">
      <c t="s" s="39" r="B42">
        <v>559</v>
      </c>
      <c s="45" r="C42"/>
    </row>
    <row r="43">
      <c t="s" s="43" r="B43">
        <v>560</v>
      </c>
      <c s="46" r="C43"/>
    </row>
    <row r="44">
      <c t="s" s="39" r="B44">
        <v>561</v>
      </c>
      <c s="45" r="C44"/>
    </row>
    <row r="45">
      <c t="s" s="43" r="B45">
        <v>562</v>
      </c>
      <c s="46" r="C45"/>
    </row>
    <row r="46">
      <c t="s" s="39" r="B46">
        <v>563</v>
      </c>
      <c s="45" r="C46"/>
    </row>
    <row r="47">
      <c t="s" s="43" r="B47">
        <v>564</v>
      </c>
      <c s="46" r="C47"/>
    </row>
    <row r="48">
      <c t="s" s="39" r="B48">
        <v>565</v>
      </c>
      <c s="45" r="C48"/>
    </row>
    <row r="49">
      <c t="s" s="43" r="B49">
        <v>566</v>
      </c>
      <c s="46" r="C49"/>
    </row>
    <row r="50">
      <c t="s" s="39" r="B50">
        <v>567</v>
      </c>
      <c s="45" r="C50"/>
    </row>
    <row r="51">
      <c t="s" s="43" r="B51">
        <v>568</v>
      </c>
      <c s="46" r="C51"/>
    </row>
    <row r="52">
      <c t="s" s="39" r="B52">
        <v>569</v>
      </c>
      <c s="45" r="C52"/>
    </row>
    <row r="53">
      <c t="s" s="43" r="B53">
        <v>570</v>
      </c>
      <c s="46" r="C53"/>
    </row>
    <row r="54">
      <c t="s" s="39" r="B54">
        <v>571</v>
      </c>
      <c s="45" r="C54"/>
    </row>
    <row r="55">
      <c t="s" s="43" r="B55">
        <v>572</v>
      </c>
      <c s="46" r="C55"/>
    </row>
    <row r="56">
      <c t="s" s="39" r="B56">
        <v>573</v>
      </c>
      <c s="45" r="C56"/>
    </row>
    <row r="57">
      <c t="s" s="43" r="B57">
        <v>574</v>
      </c>
      <c s="46" r="C57"/>
    </row>
    <row r="58">
      <c t="s" s="39" r="B58">
        <v>575</v>
      </c>
      <c s="45" r="C58"/>
    </row>
    <row r="59">
      <c t="s" s="43" r="A59">
        <v>576</v>
      </c>
      <c t="s" s="43" r="B59">
        <v>577</v>
      </c>
      <c t="s" s="44" r="C59">
        <v>578</v>
      </c>
    </row>
    <row r="60">
      <c t="s" s="39" r="B60">
        <v>579</v>
      </c>
      <c t="s" s="40" r="C60">
        <v>580</v>
      </c>
    </row>
    <row r="61">
      <c t="s" s="43" r="B61">
        <v>581</v>
      </c>
      <c t="s" s="44" r="C61">
        <v>582</v>
      </c>
    </row>
    <row r="62">
      <c t="s" s="39" r="B62">
        <v>583</v>
      </c>
      <c t="s" s="40" r="C62">
        <v>584</v>
      </c>
    </row>
    <row r="63">
      <c t="s" s="43" r="B63">
        <v>585</v>
      </c>
      <c s="46" r="C63"/>
    </row>
    <row r="64">
      <c t="s" s="39" r="B64">
        <v>586</v>
      </c>
      <c s="45" r="C64"/>
    </row>
    <row r="65">
      <c t="s" s="43" r="B65">
        <v>587</v>
      </c>
      <c s="46" r="C65"/>
    </row>
    <row r="66">
      <c t="s" s="39" r="A66">
        <v>588</v>
      </c>
      <c t="s" s="39" r="B66">
        <v>589</v>
      </c>
      <c t="s" s="40" r="C66">
        <v>590</v>
      </c>
    </row>
    <row r="67">
      <c t="s" s="43" r="B67">
        <v>591</v>
      </c>
      <c s="46" r="C67"/>
    </row>
    <row r="68">
      <c s="41" r="A68"/>
    </row>
    <row r="69">
      <c t="s" s="36" r="A69">
        <v>592</v>
      </c>
    </row>
    <row r="70">
      <c t="s" s="47" r="A70">
        <v>593</v>
      </c>
      <c t="s" s="38" r="B70">
        <v>594</v>
      </c>
      <c t="s" s="38" r="C70">
        <v>595</v>
      </c>
      <c t="s" s="38" r="D70">
        <v>596</v>
      </c>
      <c t="s" s="48" r="E70">
        <v>597</v>
      </c>
      <c t="s" s="48" r="F70">
        <v>598</v>
      </c>
      <c t="s" s="49" r="G70">
        <v>599</v>
      </c>
    </row>
    <row r="71">
      <c t="s" s="50" r="A71">
        <v>600</v>
      </c>
      <c s="51" r="B71">
        <v>46489.0</v>
      </c>
      <c t="s" s="40" r="C71">
        <v>601</v>
      </c>
      <c s="52" r="D71">
        <v>60.94</v>
      </c>
      <c t="str" s="53" r="E71">
        <f>D71/100*61</f>
        <v>37.173</v>
      </c>
      <c s="54" r="F71">
        <v>52.0</v>
      </c>
      <c s="55" r="G71">
        <v>31.0</v>
      </c>
    </row>
    <row r="72">
      <c t="s" s="50" r="A72">
        <v>602</v>
      </c>
      <c s="51" r="B72">
        <v>17224.0</v>
      </c>
      <c t="s" s="40" r="C72">
        <v>603</v>
      </c>
      <c s="52" r="D72">
        <v>22.58</v>
      </c>
      <c t="str" s="53" r="E72">
        <f>D72/100*61</f>
        <v>13.774</v>
      </c>
      <c s="54" r="F72">
        <v>7.0</v>
      </c>
      <c s="55" r="G72">
        <v>4.0</v>
      </c>
    </row>
    <row r="73">
      <c t="s" s="50" r="A73">
        <v>604</v>
      </c>
      <c s="51" r="B73">
        <v>2128.0</v>
      </c>
      <c t="s" s="40" r="C73">
        <v>605</v>
      </c>
      <c s="52" r="D73">
        <v>2.78</v>
      </c>
      <c t="str" s="53" r="E73">
        <f>D73/100*61</f>
        <v>1.696</v>
      </c>
      <c s="54" r="F73">
        <v>0.0</v>
      </c>
      <c s="55" r="G73">
        <v>0.0</v>
      </c>
    </row>
    <row r="74">
      <c t="s" s="50" r="A74">
        <v>606</v>
      </c>
      <c s="51" r="B74">
        <v>3506.0</v>
      </c>
      <c t="s" s="40" r="C74">
        <v>607</v>
      </c>
      <c s="52" r="D74">
        <v>4.59</v>
      </c>
      <c t="str" s="53" r="E74">
        <f>D74/100*61</f>
        <v>2.800</v>
      </c>
      <c s="54" r="F74">
        <v>0.0</v>
      </c>
      <c s="55" r="G74">
        <v>0.0</v>
      </c>
    </row>
    <row r="75">
      <c t="s" s="50" r="A75">
        <v>608</v>
      </c>
      <c s="51" r="B75">
        <v>4626.0</v>
      </c>
      <c t="s" s="40" r="C75">
        <v>609</v>
      </c>
      <c s="52" r="D75">
        <v>6.06</v>
      </c>
      <c t="str" s="53" r="E75">
        <f>D75/100*61</f>
        <v>3.697</v>
      </c>
      <c s="54" r="F75">
        <v>2.0</v>
      </c>
      <c s="55" r="G75">
        <v>1.0</v>
      </c>
    </row>
    <row r="76">
      <c t="s" s="50" r="A76">
        <v>610</v>
      </c>
      <c s="51" r="B76">
        <v>391.0</v>
      </c>
      <c t="s" s="40" r="C76">
        <v>611</v>
      </c>
      <c s="52" r="D76">
        <v>0.51</v>
      </c>
      <c t="str" s="53" r="E76">
        <f>D76/100*61</f>
        <v>0.311</v>
      </c>
      <c s="54" r="F76">
        <v>0.0</v>
      </c>
      <c s="55" r="G76">
        <v>0.0</v>
      </c>
    </row>
    <row r="77">
      <c t="s" s="50" r="A77">
        <v>612</v>
      </c>
      <c s="51" r="B77">
        <v>1914.0</v>
      </c>
      <c t="s" s="40" r="C77">
        <v>613</v>
      </c>
      <c s="52" r="D77">
        <v>2.5</v>
      </c>
      <c t="str" s="53" r="E77">
        <f>D77/100*61</f>
        <v>1.525</v>
      </c>
      <c s="54" r="F77">
        <v>0.0</v>
      </c>
      <c s="55" r="G77">
        <v>0.0</v>
      </c>
    </row>
    <row r="78">
      <c s="41" r="A78"/>
      <c s="56" r="E78"/>
    </row>
    <row r="79">
      <c t="s" s="57" r="A79">
        <v>614</v>
      </c>
    </row>
    <row r="80">
      <c s="41" r="A80"/>
    </row>
    <row r="81">
      <c s="37" r="A81"/>
      <c t="s" s="38" r="B81">
        <v>615</v>
      </c>
      <c t="s" s="38" r="C81">
        <v>616</v>
      </c>
      <c t="s" s="38" r="D81">
        <v>617</v>
      </c>
    </row>
    <row r="82">
      <c t="s" s="39" r="A82">
        <v>618</v>
      </c>
      <c s="58" r="B82">
        <v>140360.0</v>
      </c>
      <c s="45" r="C82"/>
      <c s="45" r="D82"/>
    </row>
    <row r="83">
      <c t="s" s="39" r="A83">
        <v>619</v>
      </c>
      <c s="58" r="B83">
        <v>62762.0</v>
      </c>
      <c t="s" s="40" r="C83">
        <v>620</v>
      </c>
      <c s="45" r="D83"/>
    </row>
    <row r="84">
      <c t="s" s="39" r="A84">
        <v>621</v>
      </c>
      <c s="58" r="B84">
        <v>77598.0</v>
      </c>
      <c t="s" s="40" r="C84">
        <v>622</v>
      </c>
      <c s="45" r="D84"/>
    </row>
    <row r="85">
      <c t="s" s="39" r="A85">
        <v>623</v>
      </c>
      <c s="58" r="B85">
        <v>1320.0</v>
      </c>
      <c t="s" s="40" r="C85">
        <v>624</v>
      </c>
      <c t="s" s="40" r="D85">
        <v>625</v>
      </c>
    </row>
    <row r="86">
      <c t="s" s="39" r="A86">
        <v>626</v>
      </c>
      <c s="58" r="B86">
        <v>76278.0</v>
      </c>
      <c t="s" s="40" r="C86">
        <v>627</v>
      </c>
      <c t="s" s="40" r="D86">
        <v>628</v>
      </c>
    </row>
    <row r="87">
      <c s="41" r="A87"/>
    </row>
    <row r="88">
      <c s="41" r="A88"/>
    </row>
    <row r="89">
      <c t="s" s="57" r="A89">
        <v>629</v>
      </c>
    </row>
    <row r="90">
      <c t="s" s="57" r="A90">
        <v>630</v>
      </c>
    </row>
  </sheetData>
  <mergeCells count="3">
    <mergeCell ref="A7:A58"/>
    <mergeCell ref="A59:A65"/>
    <mergeCell ref="A66:A6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0.57"/>
    <col min="2" customWidth="1" max="3" width="10.71"/>
    <col min="4" customWidth="1" max="4" width="20.43"/>
    <col min="5" customWidth="1" max="5" width="15.0"/>
    <col min="6" customWidth="1" max="6" width="11.57"/>
    <col min="7" customWidth="1" max="7" width="10.71"/>
    <col min="8" customWidth="1" max="9" width="41.0"/>
    <col min="10" customWidth="1" max="10" width="13.43"/>
    <col min="11" customWidth="1" max="11" width="10.71"/>
    <col min="12" customWidth="1" max="12" width="15.0"/>
    <col min="13" customWidth="1" max="32" width="10.71"/>
    <col min="33" customWidth="1" max="33" width="15.14"/>
    <col min="34" customWidth="1" max="34" width="15.0"/>
    <col min="35" customWidth="1" max="85" width="10.71"/>
  </cols>
  <sheetData>
    <row customHeight="1" r="1" ht="15.0">
      <c t="s" s="59" r="A1">
        <v>631</v>
      </c>
      <c s="5" r="H1"/>
      <c s="5" r="J1"/>
      <c s="5" r="L1"/>
      <c s="5" r="AG1"/>
      <c s="5" r="AH1"/>
    </row>
    <row customHeight="1" r="2" ht="12.75">
      <c t="s" s="60" r="A2">
        <v>632</v>
      </c>
      <c s="5" r="H2"/>
      <c s="5" r="J2"/>
      <c s="5" r="L2"/>
      <c s="5" r="AG2"/>
      <c s="5" r="AH2"/>
    </row>
    <row customHeight="1" r="3" ht="12.75">
      <c t="s" s="61" r="A3">
        <v>633</v>
      </c>
      <c s="5" r="H3"/>
      <c s="5" r="J3"/>
      <c s="5" r="L3"/>
      <c s="5" r="AG3"/>
      <c s="5" r="AH3"/>
    </row>
    <row customHeight="1" r="4" ht="12.75">
      <c t="s" s="62" r="A4">
        <v>634</v>
      </c>
      <c s="5" r="H4"/>
      <c s="5" r="J4"/>
      <c s="5" r="L4"/>
      <c s="5" r="AG4"/>
      <c s="5" r="AH4"/>
    </row>
    <row customHeight="1" r="5" ht="57.0">
      <c t="s" s="63" r="A5">
        <v>635</v>
      </c>
      <c t="s" s="63" r="B5">
        <v>636</v>
      </c>
      <c t="s" s="63" r="C5">
        <v>637</v>
      </c>
      <c t="s" s="63" r="D5">
        <v>638</v>
      </c>
      <c t="s" s="63" r="E5">
        <v>639</v>
      </c>
      <c t="s" s="63" r="F5">
        <v>640</v>
      </c>
      <c t="s" s="63" r="G5">
        <v>641</v>
      </c>
      <c t="s" s="63" r="H5">
        <v>642</v>
      </c>
      <c t="s" s="63" r="I5">
        <v>643</v>
      </c>
      <c t="s" s="63" r="J5">
        <v>644</v>
      </c>
      <c t="s" s="63" r="K5">
        <v>645</v>
      </c>
      <c t="s" s="63" r="L5">
        <v>646</v>
      </c>
      <c t="s" s="63" r="M5">
        <v>647</v>
      </c>
      <c t="s" s="63" r="N5">
        <v>648</v>
      </c>
      <c t="s" s="63" r="O5">
        <v>649</v>
      </c>
      <c t="s" s="63" r="P5">
        <v>650</v>
      </c>
      <c t="s" s="63" r="Q5">
        <v>651</v>
      </c>
      <c t="s" s="63" r="R5">
        <v>652</v>
      </c>
      <c t="s" s="63" r="S5">
        <v>653</v>
      </c>
      <c t="s" s="63" r="T5">
        <v>654</v>
      </c>
      <c t="s" s="63" r="U5">
        <v>655</v>
      </c>
      <c t="s" s="63" r="V5">
        <v>656</v>
      </c>
      <c t="s" s="63" r="W5">
        <v>657</v>
      </c>
      <c t="s" s="63" r="X5">
        <v>658</v>
      </c>
      <c t="s" s="63" r="Y5">
        <v>659</v>
      </c>
      <c t="s" s="63" r="Z5">
        <v>660</v>
      </c>
      <c t="s" s="63" r="AA5">
        <v>661</v>
      </c>
      <c t="s" s="63" r="AB5">
        <v>662</v>
      </c>
      <c t="s" s="63" r="AC5">
        <v>663</v>
      </c>
      <c t="s" s="63" r="AD5">
        <v>664</v>
      </c>
      <c t="s" s="63" r="AE5">
        <v>665</v>
      </c>
      <c t="s" s="63" r="AF5">
        <v>666</v>
      </c>
      <c t="s" s="63" r="AG5">
        <v>667</v>
      </c>
      <c t="s" s="63" r="AH5">
        <v>668</v>
      </c>
      <c t="s" s="63" r="AI5">
        <v>669</v>
      </c>
      <c t="s" s="63" r="AJ5">
        <v>670</v>
      </c>
      <c t="s" s="63" r="AK5">
        <v>671</v>
      </c>
      <c t="s" s="63" r="AL5">
        <v>672</v>
      </c>
      <c t="s" s="63" r="AM5">
        <v>673</v>
      </c>
      <c t="s" s="63" r="AN5">
        <v>674</v>
      </c>
      <c t="s" s="63" r="AO5">
        <v>675</v>
      </c>
      <c t="s" s="63" r="AP5">
        <v>676</v>
      </c>
      <c t="s" s="63" r="AQ5">
        <v>677</v>
      </c>
      <c t="s" s="63" r="AR5">
        <v>678</v>
      </c>
      <c t="s" s="63" r="AS5">
        <v>679</v>
      </c>
      <c t="s" s="63" r="AT5">
        <v>680</v>
      </c>
      <c t="s" s="63" r="AU5">
        <v>681</v>
      </c>
      <c t="s" s="63" r="AV5">
        <v>682</v>
      </c>
      <c t="s" s="63" r="AW5">
        <v>683</v>
      </c>
      <c t="s" s="63" r="AX5">
        <v>684</v>
      </c>
      <c t="s" s="63" r="AY5">
        <v>685</v>
      </c>
      <c t="s" s="63" r="AZ5">
        <v>686</v>
      </c>
      <c t="s" s="63" r="BA5">
        <v>687</v>
      </c>
      <c t="s" s="63" r="BB5">
        <v>688</v>
      </c>
      <c t="s" s="63" r="BC5">
        <v>689</v>
      </c>
      <c t="s" s="63" r="BD5">
        <v>690</v>
      </c>
      <c t="s" s="63" r="BE5">
        <v>691</v>
      </c>
      <c t="s" s="63" r="BF5">
        <v>692</v>
      </c>
      <c t="s" s="63" r="BG5">
        <v>693</v>
      </c>
      <c t="s" s="63" r="BH5">
        <v>694</v>
      </c>
      <c t="s" s="63" r="BI5">
        <v>695</v>
      </c>
      <c t="s" s="63" r="BJ5">
        <v>696</v>
      </c>
      <c t="s" s="63" r="BK5">
        <v>697</v>
      </c>
      <c t="s" s="63" r="BL5">
        <v>698</v>
      </c>
      <c t="s" s="63" r="BM5">
        <v>699</v>
      </c>
      <c t="s" s="63" r="BN5">
        <v>700</v>
      </c>
      <c t="s" s="63" r="BO5">
        <v>701</v>
      </c>
      <c t="s" s="63" r="BP5">
        <v>702</v>
      </c>
      <c t="s" s="63" r="BQ5">
        <v>703</v>
      </c>
      <c t="s" s="63" r="BR5">
        <v>704</v>
      </c>
      <c t="s" s="63" r="BS5">
        <v>705</v>
      </c>
      <c t="s" s="63" r="BT5">
        <v>706</v>
      </c>
      <c t="s" s="63" r="BU5">
        <v>707</v>
      </c>
      <c t="s" s="63" r="BV5">
        <v>708</v>
      </c>
      <c t="s" s="63" r="BW5">
        <v>709</v>
      </c>
      <c t="s" s="63" r="BX5">
        <v>710</v>
      </c>
      <c t="s" s="63" r="BY5">
        <v>711</v>
      </c>
      <c t="s" s="63" r="BZ5">
        <v>712</v>
      </c>
      <c t="s" s="63" r="CA5">
        <v>713</v>
      </c>
      <c t="s" s="63" r="CB5">
        <v>714</v>
      </c>
      <c t="s" s="63" r="CC5">
        <v>715</v>
      </c>
      <c t="s" s="63" r="CD5">
        <v>716</v>
      </c>
      <c t="s" s="63" r="CE5">
        <v>717</v>
      </c>
      <c t="s" s="63" r="CF5">
        <v>718</v>
      </c>
      <c t="s" s="63" r="CG5">
        <v>719</v>
      </c>
    </row>
    <row customHeight="1" r="6" ht="12.75">
      <c t="s" s="64" r="A6">
        <v>720</v>
      </c>
      <c t="s" s="64" r="B6">
        <v>721</v>
      </c>
      <c t="s" s="64" r="C6">
        <v>722</v>
      </c>
      <c t="s" s="64" r="D6">
        <v>723</v>
      </c>
      <c t="s" s="64" r="E6">
        <v>724</v>
      </c>
      <c t="s" s="64" r="F6">
        <v>725</v>
      </c>
      <c t="s" s="64" r="G6">
        <v>726</v>
      </c>
      <c t="s" s="64" r="H6">
        <v>727</v>
      </c>
      <c t="s" s="64" r="I6">
        <v>728</v>
      </c>
      <c t="s" s="64" r="J6">
        <v>729</v>
      </c>
      <c t="s" s="64" r="K6">
        <v>730</v>
      </c>
      <c t="s" s="64" r="L6">
        <v>731</v>
      </c>
      <c t="s" s="64" r="M6">
        <v>732</v>
      </c>
      <c t="s" s="64" r="N6">
        <v>733</v>
      </c>
      <c t="s" s="64" r="O6">
        <v>734</v>
      </c>
      <c t="s" s="64" r="P6">
        <v>735</v>
      </c>
      <c t="s" s="64" r="Q6">
        <v>736</v>
      </c>
      <c t="s" s="64" r="R6">
        <v>737</v>
      </c>
      <c t="s" s="64" r="S6">
        <v>738</v>
      </c>
      <c t="s" s="64" r="T6">
        <v>739</v>
      </c>
      <c t="s" s="64" r="U6">
        <v>740</v>
      </c>
      <c t="s" s="64" r="V6">
        <v>741</v>
      </c>
      <c t="s" s="64" r="W6">
        <v>742</v>
      </c>
      <c t="s" s="64" r="X6">
        <v>743</v>
      </c>
      <c t="s" s="64" r="Y6">
        <v>744</v>
      </c>
      <c t="s" s="64" r="Z6">
        <v>745</v>
      </c>
      <c t="s" s="64" r="AA6">
        <v>746</v>
      </c>
      <c t="s" s="64" r="AB6">
        <v>747</v>
      </c>
      <c t="s" s="64" r="AC6">
        <v>748</v>
      </c>
      <c t="s" s="64" r="AD6">
        <v>749</v>
      </c>
      <c t="s" s="64" r="AE6">
        <v>750</v>
      </c>
      <c t="s" s="64" r="AF6">
        <v>751</v>
      </c>
      <c t="s" s="64" r="AG6">
        <v>752</v>
      </c>
      <c t="s" s="64" r="AH6">
        <v>753</v>
      </c>
      <c t="s" s="64" r="AI6">
        <v>754</v>
      </c>
      <c t="s" s="64" r="AJ6">
        <v>755</v>
      </c>
      <c t="s" s="64" r="AK6">
        <v>756</v>
      </c>
      <c t="s" s="64" r="AL6">
        <v>757</v>
      </c>
      <c t="s" s="64" r="AM6">
        <v>758</v>
      </c>
      <c t="s" s="64" r="AN6">
        <v>759</v>
      </c>
      <c t="s" s="64" r="AO6">
        <v>760</v>
      </c>
      <c t="s" s="64" r="AP6">
        <v>761</v>
      </c>
      <c t="s" s="64" r="AQ6">
        <v>762</v>
      </c>
      <c t="s" s="64" r="AR6">
        <v>763</v>
      </c>
      <c t="s" s="64" r="AS6">
        <v>764</v>
      </c>
      <c t="s" s="64" r="AT6">
        <v>765</v>
      </c>
      <c t="s" s="64" r="AU6">
        <v>766</v>
      </c>
      <c t="s" s="64" r="AV6">
        <v>767</v>
      </c>
      <c t="s" s="64" r="AW6">
        <v>768</v>
      </c>
      <c t="s" s="64" r="AX6">
        <v>769</v>
      </c>
      <c t="s" s="64" r="AY6">
        <v>770</v>
      </c>
      <c t="s" s="64" r="AZ6">
        <v>771</v>
      </c>
      <c t="s" s="64" r="BA6">
        <v>772</v>
      </c>
      <c t="s" s="64" r="BB6">
        <v>773</v>
      </c>
      <c t="s" s="64" r="BC6">
        <v>774</v>
      </c>
      <c t="s" s="64" r="BD6">
        <v>775</v>
      </c>
      <c t="s" s="64" r="BE6">
        <v>776</v>
      </c>
      <c t="s" s="64" r="BF6">
        <v>777</v>
      </c>
      <c t="s" s="64" r="BG6">
        <v>778</v>
      </c>
      <c t="s" s="64" r="BH6">
        <v>779</v>
      </c>
      <c t="s" s="64" r="BI6">
        <v>780</v>
      </c>
      <c t="s" s="64" r="BJ6">
        <v>781</v>
      </c>
      <c t="s" s="64" r="BK6">
        <v>782</v>
      </c>
      <c t="s" s="64" r="BL6">
        <v>783</v>
      </c>
      <c t="s" s="64" r="BM6">
        <v>784</v>
      </c>
      <c t="s" s="64" r="BN6">
        <v>785</v>
      </c>
      <c t="s" s="64" r="BO6">
        <v>786</v>
      </c>
      <c t="s" s="64" r="BP6">
        <v>787</v>
      </c>
      <c t="s" s="64" r="BQ6">
        <v>788</v>
      </c>
      <c t="s" s="64" r="BR6">
        <v>789</v>
      </c>
      <c t="s" s="64" r="BS6">
        <v>790</v>
      </c>
      <c t="s" s="64" r="BT6">
        <v>791</v>
      </c>
      <c t="s" s="64" r="BU6">
        <v>792</v>
      </c>
      <c t="s" s="64" r="BV6">
        <v>793</v>
      </c>
      <c t="s" s="64" r="BW6">
        <v>794</v>
      </c>
      <c t="s" s="64" r="BX6">
        <v>795</v>
      </c>
      <c t="s" s="64" r="BY6">
        <v>796</v>
      </c>
      <c t="s" s="64" r="BZ6">
        <v>797</v>
      </c>
      <c t="s" s="64" r="CA6">
        <v>798</v>
      </c>
      <c t="s" s="64" r="CB6">
        <v>799</v>
      </c>
      <c t="s" s="64" r="CC6">
        <v>800</v>
      </c>
      <c t="s" s="64" r="CD6">
        <v>801</v>
      </c>
      <c t="s" s="64" r="CE6">
        <v>802</v>
      </c>
      <c t="s" s="64" r="CF6">
        <v>803</v>
      </c>
      <c t="s" s="64" r="CG6">
        <v>804</v>
      </c>
    </row>
    <row customHeight="1" r="7" ht="12.75">
      <c t="s" s="65" r="A7">
        <v>805</v>
      </c>
      <c t="s" s="65" r="B7">
        <v>806</v>
      </c>
      <c s="66" r="C7">
        <v>239157.0</v>
      </c>
      <c s="66" r="D7">
        <v>32735.994543</v>
      </c>
      <c s="66" r="E7">
        <v>74766.77279</v>
      </c>
      <c s="66" r="F7">
        <v>49305.367221</v>
      </c>
      <c s="66" r="G7">
        <v>38976.9627869999</v>
      </c>
      <c s="66" r="H7">
        <v>24252.685124</v>
      </c>
      <c s="66" r="I7">
        <v>19119.217535</v>
      </c>
      <c s="66" r="J7">
        <v>111451.60394</v>
      </c>
      <c s="66" r="K7">
        <v>16807.2311</v>
      </c>
      <c s="66" r="L7">
        <v>34673.8573069999</v>
      </c>
      <c s="66" r="M7">
        <v>25151.426506</v>
      </c>
      <c s="66" r="N7">
        <v>18189.90749</v>
      </c>
      <c s="66" r="O7">
        <v>10544.035822</v>
      </c>
      <c s="66" r="P7">
        <v>5637.591537</v>
      </c>
      <c s="66" r="Q7">
        <v>447.554176999999</v>
      </c>
      <c s="66" r="R7">
        <v>25243.8820569999</v>
      </c>
      <c s="66" r="S7">
        <v>74404.717409</v>
      </c>
      <c s="66" r="T7">
        <v>11803.0044739999</v>
      </c>
      <c s="66" r="U7">
        <v>127705.39606</v>
      </c>
      <c s="66" r="V7">
        <v>15928.7634419999</v>
      </c>
      <c s="66" r="W7">
        <v>40092.9154829999</v>
      </c>
      <c s="66" r="X7">
        <v>24153.940715</v>
      </c>
      <c s="66" r="Y7">
        <v>20787.0552959999</v>
      </c>
      <c s="66" r="Z7">
        <v>13708.649302</v>
      </c>
      <c s="66" r="AA7">
        <v>11399.863141</v>
      </c>
      <c s="66" r="AB7">
        <v>1634.20868</v>
      </c>
      <c s="66" r="AC7">
        <v>25881.7820969999</v>
      </c>
      <c s="66" r="AD7">
        <v>81138.8231519999</v>
      </c>
      <c s="66" r="AE7">
        <v>20684.7908109999</v>
      </c>
      <c s="66" r="AF7">
        <v>206451.005446</v>
      </c>
      <c s="66" r="AG7">
        <v>225.866131</v>
      </c>
      <c s="66" r="AH7">
        <v>6508.47826499999</v>
      </c>
      <c s="66" r="AI7">
        <v>29857.1830459999</v>
      </c>
      <c s="66" r="AJ7">
        <v>32722.2612279999</v>
      </c>
      <c s="66" r="AK7">
        <v>32367.613579</v>
      </c>
      <c s="66" r="AL7">
        <v>16306.329748</v>
      </c>
      <c s="66" r="AM7">
        <v>37451.2274669999</v>
      </c>
      <c s="66" r="AN7">
        <v>51012.045982</v>
      </c>
      <c s="66" r="AO7">
        <v>94658.3728339999</v>
      </c>
      <c s="66" r="AP7">
        <v>163.922869999999</v>
      </c>
      <c s="66" r="AQ7">
        <v>4573.773543</v>
      </c>
      <c s="66" r="AR7">
        <v>17083.767795</v>
      </c>
      <c s="66" r="AS7">
        <v>14637.323929</v>
      </c>
      <c s="66" r="AT7">
        <v>9573.14626499999</v>
      </c>
      <c s="66" r="AU7">
        <v>13560.505472</v>
      </c>
      <c s="66" r="AV7">
        <v>14671.070379</v>
      </c>
      <c s="66" r="AW7">
        <v>20394.862582</v>
      </c>
      <c s="66" r="AX7">
        <v>111792.632612</v>
      </c>
      <c s="66" r="AY7">
        <v>61.943261</v>
      </c>
      <c s="66" r="AZ7">
        <v>1934.70472199999</v>
      </c>
      <c s="66" r="BA7">
        <v>12773.415251</v>
      </c>
      <c s="66" r="BB7">
        <v>18084.937299</v>
      </c>
      <c s="66" r="BC7">
        <v>22794.467315</v>
      </c>
      <c s="66" r="BD7">
        <v>2745.82427599999</v>
      </c>
      <c s="66" r="BE7">
        <v>22780.157088</v>
      </c>
      <c s="66" r="BF7">
        <v>30617.1834009999</v>
      </c>
      <c s="66" r="BG7">
        <v>51268.457405</v>
      </c>
      <c s="66" r="BH7">
        <v>0.0</v>
      </c>
      <c s="66" r="BI7">
        <v>238.896872</v>
      </c>
      <c s="66" r="BJ7">
        <v>1692.861871</v>
      </c>
      <c s="66" r="BK7">
        <v>4093.886884</v>
      </c>
      <c s="66" r="BL7">
        <v>6994.96547999999</v>
      </c>
      <c s="66" r="BM7">
        <v>3445.50108899999</v>
      </c>
      <c s="66" r="BN7">
        <v>0.0</v>
      </c>
      <c s="66" r="BO7">
        <v>34802.3452079999</v>
      </c>
      <c s="66" r="BP7">
        <v>99331.6055659999</v>
      </c>
      <c s="66" r="BQ7">
        <v>153.756269</v>
      </c>
      <c s="66" r="BR7">
        <v>4961.735708</v>
      </c>
      <c s="66" r="BS7">
        <v>23416.437789</v>
      </c>
      <c s="66" r="BT7">
        <v>25498.443189</v>
      </c>
      <c s="66" r="BU7">
        <v>22143.578313</v>
      </c>
      <c s="66" r="BV7">
        <v>11458.354793</v>
      </c>
      <c s="66" r="BW7">
        <v>364.823143</v>
      </c>
      <c s="66" r="BX7">
        <v>11334.476361</v>
      </c>
      <c s="66" r="BY7">
        <v>55850.942475</v>
      </c>
      <c s="66" r="BZ7">
        <v>72.109863</v>
      </c>
      <c s="66" r="CA7">
        <v>1307.84568399999</v>
      </c>
      <c s="66" r="CB7">
        <v>4747.883386</v>
      </c>
      <c s="66" r="CC7">
        <v>3129.93115399999</v>
      </c>
      <c s="66" r="CD7">
        <v>3229.069786</v>
      </c>
      <c s="66" r="CE7">
        <v>1402.473866</v>
      </c>
      <c s="66" r="CF7">
        <v>37086.404323</v>
      </c>
      <c s="66" r="CG7">
        <v>4875.22441299999</v>
      </c>
    </row>
    <row customHeight="1" r="8" ht="12.75">
      <c s="65" r="A8"/>
      <c s="65" r="B8"/>
      <c s="67" r="C8"/>
      <c s="67" r="D8"/>
      <c s="67" r="E8"/>
      <c s="67" r="F8"/>
      <c s="67" r="G8"/>
      <c s="67" r="H8"/>
      <c s="67" r="I8"/>
      <c s="67" r="J8"/>
      <c s="67" r="K8"/>
      <c s="67" r="L8"/>
      <c s="67" r="M8"/>
      <c s="67" r="N8"/>
      <c s="67" r="O8"/>
      <c s="67" r="P8"/>
      <c s="67" r="Q8"/>
      <c s="67" r="R8"/>
      <c s="67" r="S8"/>
      <c s="67" r="T8"/>
      <c s="67" r="U8"/>
      <c s="67" r="V8"/>
      <c s="67" r="W8"/>
      <c s="67" r="X8"/>
      <c s="67" r="Y8"/>
      <c s="67" r="Z8"/>
      <c s="67" r="AA8"/>
      <c s="67" r="AB8"/>
      <c s="67" r="AC8"/>
      <c s="67" r="AD8"/>
      <c s="67" r="AE8"/>
      <c s="67" r="AF8"/>
      <c s="67" r="AG8"/>
      <c s="67" r="AH8"/>
      <c s="67" r="AI8"/>
      <c s="67" r="AJ8"/>
      <c s="67" r="AK8"/>
      <c s="67" r="AL8"/>
      <c s="67" r="AM8"/>
      <c s="67" r="AN8"/>
      <c s="67" r="AO8"/>
      <c s="67" r="AP8"/>
      <c s="67" r="AQ8"/>
      <c s="67" r="AR8"/>
      <c s="67" r="AS8"/>
      <c s="67" r="AT8"/>
      <c s="67" r="AU8"/>
      <c s="67" r="AV8"/>
      <c s="67" r="AW8"/>
      <c s="67" r="AX8"/>
      <c s="67" r="AY8"/>
      <c s="67" r="AZ8"/>
      <c s="67" r="BA8"/>
      <c s="67" r="BB8"/>
      <c s="67" r="BC8"/>
      <c s="67" r="BD8"/>
      <c s="67" r="BE8"/>
      <c s="67" r="BF8"/>
      <c s="67" r="BG8"/>
      <c s="67" r="BH8"/>
      <c s="67" r="BI8"/>
      <c s="67" r="BJ8"/>
      <c s="67" r="BK8"/>
      <c s="67" r="BL8"/>
      <c s="67" r="BM8"/>
      <c s="67" r="BN8"/>
      <c s="67" r="BO8"/>
      <c s="67" r="BP8"/>
      <c s="67" r="BQ8"/>
      <c s="67" r="BR8"/>
      <c s="67" r="BS8"/>
      <c s="67" r="BT8"/>
      <c s="67" r="BU8"/>
      <c s="67" r="BV8"/>
      <c s="67" r="BW8"/>
      <c s="67" r="BX8"/>
      <c s="67" r="BY8"/>
      <c s="67" r="BZ8"/>
      <c s="67" r="CA8"/>
      <c s="67" r="CB8"/>
      <c s="67" r="CC8"/>
      <c s="67" r="CD8"/>
      <c s="67" r="CE8"/>
      <c s="67" r="CF8"/>
      <c s="67" r="CG8"/>
    </row>
    <row customHeight="1" r="9" ht="12.75">
      <c t="s" s="5" r="A9">
        <v>807</v>
      </c>
      <c t="str" s="68" r="B9">
        <f>AF7</f>
        <v>206451</v>
      </c>
      <c s="67" r="C9"/>
      <c s="67" r="D9"/>
      <c s="67" r="E9"/>
      <c s="67" r="F9"/>
      <c s="67" r="G9"/>
      <c s="67" r="H9"/>
      <c s="67" r="I9"/>
      <c s="67" r="J9"/>
      <c s="67" r="K9"/>
      <c s="67" r="L9"/>
      <c s="67" r="M9"/>
      <c s="67" r="N9"/>
      <c s="67" r="O9"/>
      <c s="67" r="P9"/>
      <c s="67" r="Q9"/>
      <c s="67" r="R9"/>
      <c s="67" r="S9"/>
      <c s="67" r="T9"/>
      <c s="67" r="U9"/>
      <c s="67" r="V9"/>
      <c s="67" r="W9"/>
      <c s="67" r="X9"/>
      <c s="67" r="Y9"/>
      <c s="67" r="Z9"/>
      <c s="67" r="AA9"/>
      <c s="67" r="AB9"/>
      <c s="67" r="AC9"/>
      <c s="67" r="AD9"/>
      <c s="67" r="AE9"/>
      <c s="67" r="AF9"/>
      <c s="67" r="AG9"/>
      <c s="67" r="AH9"/>
      <c s="67" r="AI9"/>
      <c s="67" r="AJ9"/>
      <c s="67" r="AK9"/>
      <c s="67" r="AL9"/>
      <c s="67" r="AM9"/>
      <c s="67" r="AN9"/>
      <c s="67" r="AO9"/>
      <c s="67" r="AP9"/>
      <c s="67" r="AQ9"/>
      <c s="67" r="AR9"/>
      <c s="67" r="AS9"/>
      <c s="67" r="AT9"/>
      <c s="67" r="AU9"/>
      <c s="67" r="AV9"/>
      <c s="67" r="AW9"/>
      <c s="67" r="AX9"/>
      <c s="67" r="AY9"/>
      <c s="67" r="AZ9"/>
      <c s="67" r="BA9"/>
      <c s="67" r="BB9"/>
      <c s="67" r="BC9"/>
      <c s="67" r="BD9"/>
      <c s="67" r="BE9"/>
      <c s="67" r="BF9"/>
      <c s="67" r="BG9"/>
      <c s="67" r="BH9"/>
      <c s="67" r="BI9"/>
      <c s="67" r="BJ9"/>
      <c s="67" r="BK9"/>
      <c s="67" r="BL9"/>
      <c s="67" r="BM9"/>
      <c s="67" r="BN9"/>
      <c s="67" r="BO9"/>
      <c s="67" r="BP9"/>
      <c s="67" r="BQ9"/>
      <c s="67" r="BR9"/>
      <c s="67" r="BS9"/>
      <c s="67" r="BT9"/>
      <c s="67" r="BU9"/>
      <c s="67" r="BV9"/>
      <c s="67" r="BW9"/>
      <c s="67" r="BX9"/>
      <c s="67" r="BY9"/>
      <c s="67" r="BZ9"/>
      <c s="67" r="CA9"/>
      <c s="67" r="CB9"/>
      <c s="67" r="CC9"/>
      <c s="67" r="CD9"/>
      <c s="67" r="CE9"/>
      <c s="67" r="CF9"/>
      <c s="67" r="CG9"/>
    </row>
    <row customHeight="1" r="10" ht="12.75">
      <c t="s" s="5" r="A10">
        <v>808</v>
      </c>
      <c t="str" s="68" r="B10">
        <f>AD7+AE7+S7+T7</f>
        <v>188031</v>
      </c>
      <c s="5" r="D10"/>
      <c s="5" r="E10"/>
      <c s="5" r="F10"/>
      <c s="5" r="H10"/>
      <c s="5" r="J10"/>
      <c s="5" r="L10"/>
      <c s="5" r="AG10"/>
      <c s="5" r="AH10"/>
    </row>
    <row customHeight="1" r="11" ht="12.75">
      <c s="5" r="A11"/>
      <c s="5" r="D11"/>
      <c s="5" r="E11"/>
      <c s="5" r="F11"/>
      <c s="5" r="G11"/>
      <c s="5" r="H11"/>
      <c s="5" r="I11"/>
      <c s="5" r="J11"/>
      <c s="5" r="L11"/>
      <c s="5" r="AG11"/>
      <c s="5" r="AH11"/>
    </row>
    <row customHeight="1" r="12" ht="28.5">
      <c s="68" r="A12"/>
      <c s="68" r="B12"/>
      <c s="68" r="C12"/>
      <c s="68" r="D12"/>
      <c s="68" r="E12"/>
      <c s="68" r="F12"/>
      <c s="68" r="G12"/>
      <c s="68" r="H12"/>
      <c s="68" r="I12"/>
      <c s="68" r="J12"/>
      <c s="68" r="K12"/>
      <c s="68" r="L12"/>
      <c s="68" r="M12"/>
      <c s="68" r="N12"/>
      <c s="68" r="O12"/>
      <c s="68" r="P12"/>
      <c s="68" r="Q12"/>
      <c s="68" r="R12"/>
      <c s="68" r="S12"/>
      <c s="68" r="T12"/>
      <c s="68" r="U12"/>
      <c s="68" r="V12"/>
      <c s="68" r="W12"/>
      <c s="68" r="X12"/>
      <c s="68" r="Y12"/>
      <c s="68" r="Z12"/>
      <c s="68" r="AA12"/>
      <c s="68" r="AB12"/>
      <c s="68" r="AC12"/>
      <c s="68" r="AD12"/>
      <c s="68" r="AE12"/>
      <c s="68" r="AF12"/>
      <c s="68" r="AG12"/>
      <c s="68" r="AH12"/>
      <c s="68" r="AI12"/>
      <c s="68" r="AJ12"/>
      <c s="68" r="AK12"/>
      <c s="68" r="AL12"/>
      <c s="68" r="AM12"/>
      <c s="68" r="AN12"/>
      <c s="68" r="AO12"/>
      <c s="68" r="AP12"/>
      <c s="68" r="AQ12"/>
      <c s="68" r="AR12"/>
      <c s="68" r="AS12"/>
      <c s="68" r="AT12"/>
      <c s="68" r="AU12"/>
      <c s="68" r="AV12"/>
      <c s="68" r="AW12"/>
      <c s="68" r="AX12"/>
      <c s="68" r="AY12"/>
      <c s="68" r="AZ12"/>
      <c s="68" r="BA12"/>
      <c s="68" r="BB12"/>
      <c s="68" r="BC12"/>
      <c s="68" r="BD12"/>
      <c s="68" r="BE12"/>
      <c s="68" r="BF12"/>
      <c s="68" r="BG12"/>
      <c s="68" r="BH12"/>
      <c s="68" r="BI12"/>
      <c s="68" r="BJ12"/>
      <c s="68" r="BK12"/>
      <c s="68" r="BL12"/>
      <c s="68" r="BM12"/>
      <c s="68" r="BN12"/>
      <c s="68" r="BO12"/>
      <c s="68" r="BP12"/>
      <c s="68" r="BQ12"/>
      <c s="68" r="BR12"/>
      <c s="68" r="BS12"/>
      <c s="68" r="BT12"/>
      <c s="68" r="BU12"/>
      <c s="68" r="BV12"/>
      <c s="68" r="BW12"/>
      <c s="68" r="BX12"/>
      <c s="68" r="BY12"/>
      <c s="68" r="BZ12"/>
      <c s="68" r="CA12"/>
      <c s="68" r="CB12"/>
      <c s="68" r="CC12"/>
      <c s="68" r="CD12"/>
      <c s="68" r="CE12"/>
      <c s="68" r="CF12"/>
      <c s="68" r="CG12"/>
    </row>
    <row customHeight="1" r="13" ht="12.75">
      <c t="s" s="10" r="A13">
        <v>809</v>
      </c>
      <c t="s" s="11" r="D13">
        <v>810</v>
      </c>
      <c t="s" s="69" r="H13">
        <v>811</v>
      </c>
      <c s="5" r="L13"/>
      <c s="5" r="AG13"/>
      <c s="5" r="AH13"/>
    </row>
    <row customHeight="1" r="14" ht="12.75">
      <c t="s" s="15" r="A14">
        <v>812</v>
      </c>
      <c t="str" s="70" r="B14">
        <f>(AD7+AE7)/B10*61</f>
        <v>33</v>
      </c>
      <c t="s" s="16" r="D14">
        <v>813</v>
      </c>
      <c t="str" s="17" r="E14">
        <f>F21+F27</f>
        <v>18</v>
      </c>
      <c t="s" s="13" r="H14">
        <v>814</v>
      </c>
      <c t="str" s="71" r="I14">
        <f>AG7/AF7*61</f>
        <v>0.067</v>
      </c>
      <c s="5" r="L14"/>
      <c s="5" r="AG14"/>
      <c s="5" r="AH14"/>
    </row>
    <row customHeight="1" r="15" ht="12.75">
      <c t="s" s="15" r="A15">
        <v>815</v>
      </c>
      <c t="str" s="70" r="B15">
        <f>(S7+T7)/B10*61</f>
        <v>28</v>
      </c>
      <c t="s" s="16" r="D15">
        <v>816</v>
      </c>
      <c t="str" s="17" r="E15">
        <f>F22+F28</f>
        <v>16</v>
      </c>
      <c t="s" s="20" r="H15">
        <v>817</v>
      </c>
      <c t="str" s="71" r="I15">
        <f>AH7/AF7*61</f>
        <v>1.923</v>
      </c>
      <c s="5" r="L15"/>
      <c s="5" r="AG15"/>
      <c s="5" r="AH15"/>
    </row>
    <row customHeight="1" r="16" ht="12.75">
      <c s="5" r="A16"/>
      <c t="s" s="16" r="D16">
        <v>818</v>
      </c>
      <c t="str" s="17" r="E16">
        <f>F23+F29</f>
        <v>13</v>
      </c>
      <c t="s" s="20" r="H16">
        <v>819</v>
      </c>
      <c t="str" s="71" r="I16">
        <f>AI7/AF7*61</f>
        <v>8.822</v>
      </c>
      <c s="5" r="L16"/>
      <c s="5" r="AG16"/>
      <c s="5" r="AH16"/>
    </row>
    <row customHeight="1" r="17" ht="12.75">
      <c t="s" s="16" r="D17">
        <v>820</v>
      </c>
      <c t="str" s="17" r="E17">
        <f>F24+F30</f>
        <v>8</v>
      </c>
      <c t="s" s="20" r="H17">
        <v>821</v>
      </c>
      <c t="str" s="71" r="I17">
        <f>AJ7/AF7*61</f>
        <v>9.668</v>
      </c>
      <c s="5" r="L17"/>
      <c s="5" r="AG17"/>
      <c s="5" r="AH17"/>
    </row>
    <row customHeight="1" r="18" ht="12.75">
      <c t="s" s="16" r="D18">
        <v>822</v>
      </c>
      <c t="str" s="17" r="E18">
        <f>F31+F25</f>
        <v>6</v>
      </c>
      <c t="s" s="13" r="H18">
        <v>823</v>
      </c>
      <c t="str" s="71" r="I18">
        <f>AK7/AF7*61</f>
        <v>9.564</v>
      </c>
      <c s="5" r="L18"/>
      <c s="5" r="AG18"/>
      <c s="5" r="AH18"/>
    </row>
    <row customHeight="1" r="19" ht="12.75">
      <c t="s" s="16" r="D19">
        <v>824</v>
      </c>
      <c t="str" s="17" r="E19">
        <f>F32+F26</f>
        <v>1</v>
      </c>
      <c t="s" s="13" r="H19">
        <v>825</v>
      </c>
      <c t="str" s="71" r="I19">
        <f>AL7/AF7*61</f>
        <v>4.818</v>
      </c>
      <c s="5" r="L19"/>
      <c s="68" r="Z19"/>
      <c s="5" r="AG19"/>
      <c s="5" r="AH19"/>
    </row>
    <row customHeight="1" r="20" ht="12.75">
      <c t="s" s="13" r="H20">
        <v>826</v>
      </c>
      <c t="str" s="71" r="I20">
        <f>AM7/AF7*61</f>
        <v>11.066</v>
      </c>
      <c s="5" r="L20"/>
      <c s="5" r="AG20"/>
      <c s="5" r="AH20"/>
    </row>
    <row customHeight="1" r="21" ht="12.75">
      <c t="s" s="72" r="D21">
        <v>827</v>
      </c>
      <c t="s" s="23" r="E21">
        <v>828</v>
      </c>
      <c t="str" s="24" r="F21">
        <f>(AD7+AE7-AB7-AA7-Z7-Y7-X7)/B10*61</f>
        <v>10</v>
      </c>
      <c t="s" s="13" r="H21">
        <v>829</v>
      </c>
      <c t="str" s="71" r="I21">
        <f>AN7/AF7*61</f>
        <v>15.073</v>
      </c>
      <c s="5" r="L21"/>
      <c s="5" r="AG21"/>
      <c s="5" r="AH21"/>
    </row>
    <row customHeight="1" r="22" ht="12.75">
      <c t="s" s="23" r="E22">
        <v>830</v>
      </c>
      <c t="str" s="24" r="F22">
        <f>X7/B10*61</f>
        <v>8</v>
      </c>
      <c s="5" r="H22"/>
      <c s="5" r="L22"/>
      <c s="68" r="M22"/>
      <c s="5" r="AG22"/>
      <c s="5" r="AH22"/>
    </row>
    <row customHeight="1" r="23" ht="12.75">
      <c t="s" s="23" r="E23">
        <v>831</v>
      </c>
      <c t="str" s="24" r="F23">
        <f>Y7/B10*61</f>
        <v>7</v>
      </c>
      <c t="s" s="73" r="H23">
        <v>832</v>
      </c>
      <c t="s" s="20" r="I23">
        <v>833</v>
      </c>
      <c t="str" s="74" r="J23">
        <f>AY7/B9*61</f>
        <v>0</v>
      </c>
      <c s="5" r="L23"/>
      <c s="5" r="AG23"/>
      <c s="5" r="AH23"/>
    </row>
    <row customHeight="1" r="24" ht="12.75">
      <c s="5" r="A24"/>
      <c t="s" s="23" r="E24">
        <v>834</v>
      </c>
      <c t="str" s="24" r="F24">
        <f>Z7/B10*61</f>
        <v>4</v>
      </c>
      <c t="s" s="20" r="I24">
        <v>835</v>
      </c>
      <c t="str" s="74" r="J24">
        <f>AZ7/B9*61</f>
        <v>1</v>
      </c>
      <c s="5" r="L24"/>
      <c s="5" r="AG24"/>
      <c s="5" r="AH24"/>
    </row>
    <row customHeight="1" r="25" ht="12.75">
      <c t="s" s="23" r="E25">
        <v>836</v>
      </c>
      <c t="str" s="24" r="F25">
        <f>AA7/B10*61</f>
        <v>4</v>
      </c>
      <c t="s" s="20" r="I25">
        <v>837</v>
      </c>
      <c t="str" s="74" r="J25">
        <f>BA7/B9*61</f>
        <v>4</v>
      </c>
      <c s="5" r="L25"/>
      <c s="5" r="AG25"/>
      <c s="5" r="AH25"/>
    </row>
    <row customHeight="1" r="26" ht="25.5">
      <c t="s" s="29" r="E26">
        <v>838</v>
      </c>
      <c t="str" s="30" r="F26">
        <f>AB7/B10*61</f>
        <v>1</v>
      </c>
      <c t="s" s="20" r="I26">
        <v>839</v>
      </c>
      <c t="str" s="74" r="J26">
        <f>BB7/B9*61</f>
        <v>5</v>
      </c>
      <c s="5" r="AG26"/>
      <c s="5" r="AH26"/>
    </row>
    <row customHeight="1" r="27" ht="19.5">
      <c t="s" s="31" r="D27">
        <v>840</v>
      </c>
      <c t="s" s="29" r="E27">
        <v>841</v>
      </c>
      <c t="str" s="24" r="F27">
        <f>(S7+T7-Q7-P7-O7-N7-M7)/B10*61</f>
        <v>9</v>
      </c>
      <c t="s" s="20" r="I27">
        <v>842</v>
      </c>
      <c t="str" s="74" r="J27">
        <f>BC7/B9*61</f>
        <v>7</v>
      </c>
      <c s="5" r="AG27"/>
      <c s="5" r="AH27"/>
    </row>
    <row customHeight="1" r="28" ht="25.5">
      <c t="s" s="23" r="E28">
        <v>843</v>
      </c>
      <c t="str" s="24" r="F28">
        <f>M7/B10*61</f>
        <v>8</v>
      </c>
      <c t="s" s="20" r="I28">
        <v>844</v>
      </c>
      <c t="str" s="74" r="J28">
        <f>BD7/B9*61</f>
        <v>1</v>
      </c>
      <c s="5" r="AG28"/>
      <c s="5" r="AH28"/>
    </row>
    <row customHeight="1" r="29" ht="25.5">
      <c t="s" s="23" r="E29">
        <v>845</v>
      </c>
      <c t="str" s="24" r="F29">
        <f>N7/B10*61</f>
        <v>6</v>
      </c>
      <c t="s" s="20" r="I29">
        <v>846</v>
      </c>
      <c t="str" s="74" r="J29">
        <f>BE7/B9*61</f>
        <v>7</v>
      </c>
      <c s="5" r="AG29"/>
      <c s="5" r="AH29"/>
    </row>
    <row customHeight="1" r="30" ht="12.75">
      <c s="68" r="C30"/>
      <c t="s" s="23" r="E30">
        <v>847</v>
      </c>
      <c t="str" s="24" r="F30">
        <f>O7/B10*61</f>
        <v>3</v>
      </c>
      <c t="s" s="20" r="I30">
        <v>848</v>
      </c>
      <c t="str" s="74" r="J30">
        <f>BF7/B9*61</f>
        <v>9</v>
      </c>
      <c s="5" r="AG30"/>
      <c s="5" r="AH30"/>
    </row>
    <row customHeight="1" r="31" ht="12.75">
      <c t="s" s="23" r="E31">
        <v>849</v>
      </c>
      <c t="str" s="24" r="F31">
        <f>P7/B10*61</f>
        <v>2</v>
      </c>
      <c t="s" s="73" r="H31">
        <v>850</v>
      </c>
      <c t="s" s="20" r="I31">
        <v>851</v>
      </c>
      <c t="str" s="74" r="J31">
        <f>AP7/B9*61</f>
        <v>0</v>
      </c>
      <c s="5" r="AG31"/>
      <c s="5" r="AH31"/>
    </row>
    <row customHeight="1" r="32" ht="12.75">
      <c t="s" s="29" r="E32">
        <v>852</v>
      </c>
      <c t="str" s="30" r="F32">
        <f>Q7/B10*61</f>
        <v>0</v>
      </c>
      <c t="s" s="20" r="I32">
        <v>853</v>
      </c>
      <c t="str" s="74" r="J32">
        <f>AQ7/B9*61</f>
        <v>1</v>
      </c>
      <c s="5" r="AG32"/>
      <c s="5" r="AH32"/>
    </row>
    <row customHeight="1" r="33" ht="12.75">
      <c t="s" s="20" r="I33">
        <v>854</v>
      </c>
      <c t="str" s="74" r="J33">
        <f>AR7/B9*61</f>
        <v>5</v>
      </c>
      <c s="5" r="AG33"/>
      <c s="5" r="AH33"/>
    </row>
    <row customHeight="1" r="34" ht="25.5">
      <c s="5" r="A34"/>
      <c t="s" s="20" r="I34">
        <v>855</v>
      </c>
      <c t="str" s="74" r="J34">
        <f>AS7/B9*61</f>
        <v>4</v>
      </c>
      <c s="5" r="AG34"/>
      <c s="5" r="AH34"/>
    </row>
    <row customHeight="1" r="35" ht="19.5">
      <c s="5" r="A35"/>
      <c t="s" s="20" r="I35">
        <v>856</v>
      </c>
      <c t="str" s="74" r="J35">
        <f>AT7/B9*61</f>
        <v>3</v>
      </c>
      <c s="5" r="AG35"/>
      <c s="5" r="AH35"/>
    </row>
    <row customHeight="1" r="36" ht="17.25">
      <c s="5" r="A36"/>
      <c t="s" s="20" r="I36">
        <v>857</v>
      </c>
      <c t="str" s="74" r="J36">
        <f>AU7/B9*61</f>
        <v>4</v>
      </c>
      <c s="5" r="AG36"/>
      <c s="5" r="AH36"/>
    </row>
    <row customHeight="1" r="37" ht="25.5">
      <c s="5" r="A37"/>
      <c t="s" s="20" r="I37">
        <v>858</v>
      </c>
      <c t="str" s="74" r="J37">
        <f>AV7/B9*61</f>
        <v>4</v>
      </c>
      <c s="5" r="AG37"/>
      <c s="5" r="AH37"/>
    </row>
    <row customHeight="1" r="38" ht="12.75">
      <c s="5" r="A38"/>
      <c t="s" s="20" r="I38">
        <v>859</v>
      </c>
      <c t="str" s="74" r="J38">
        <f>AW7/B9*61</f>
        <v>6</v>
      </c>
      <c s="5" r="AG38"/>
      <c s="5" r="AH38"/>
    </row>
    <row customHeight="1" r="39" ht="12.75">
      <c s="5" r="A39"/>
      <c s="5" r="H39"/>
      <c s="5" r="J39"/>
      <c s="5" r="AG39"/>
      <c s="5" r="AH39"/>
    </row>
    <row customHeight="1" r="40" ht="12.75">
      <c s="5" r="A40"/>
      <c s="5" r="H40"/>
      <c s="5" r="J40"/>
      <c s="5" r="AG40"/>
      <c s="5" r="AH40"/>
    </row>
    <row customHeight="1" r="41" ht="12.75">
      <c s="5" r="A41"/>
      <c s="5" r="H41"/>
      <c s="5" r="J41"/>
      <c s="5" r="AG41"/>
      <c s="5" r="AH41"/>
    </row>
  </sheetData>
  <mergeCells count="11">
    <mergeCell ref="D21:D26"/>
    <mergeCell ref="A13:B13"/>
    <mergeCell ref="D13:E13"/>
    <mergeCell ref="H13:I13"/>
    <mergeCell ref="H31:H38"/>
    <mergeCell ref="H23:H30"/>
    <mergeCell ref="D27:D32"/>
    <mergeCell ref="A3:G3"/>
    <mergeCell ref="A2:G2"/>
    <mergeCell ref="A1:G1"/>
    <mergeCell ref="A4:G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9.71"/>
    <col min="2" customWidth="1" max="2" width="20.71"/>
    <col min="3" customWidth="1" max="3" width="3.0"/>
    <col min="4" customWidth="1" max="4" width="10.71"/>
    <col min="5" customWidth="1" max="5" width="29.57"/>
    <col min="6" customWidth="1" max="6" width="20.86"/>
    <col min="7" customWidth="1" max="7" width="3.0"/>
    <col min="8" customWidth="1" max="8" width="10.71"/>
    <col min="9" customWidth="1" max="9" width="20.14"/>
    <col min="10" customWidth="1" max="10" width="13.29"/>
    <col min="11" customWidth="1" max="11" width="2.29"/>
    <col min="12" customWidth="1" max="12" width="28.14"/>
    <col min="13" customWidth="1" max="13" width="12.86"/>
  </cols>
  <sheetData>
    <row customHeight="1" r="1" ht="39.75">
      <c t="s" s="75" r="A1">
        <v>860</v>
      </c>
      <c t="s" s="75" r="E1">
        <v>861</v>
      </c>
      <c t="s" s="76" r="I1">
        <v>862</v>
      </c>
      <c s="5" r="K1"/>
      <c t="s" s="76" r="L1">
        <v>863</v>
      </c>
    </row>
    <row customHeight="1" r="2" ht="12.75">
      <c s="5" r="A2"/>
      <c s="5" r="B2"/>
      <c s="5" r="C2"/>
      <c s="5" r="E2"/>
      <c s="5" r="F2"/>
      <c s="5" r="G2"/>
      <c s="77" r="I2"/>
      <c s="78" r="J2"/>
      <c s="5" r="K2"/>
      <c s="77" r="L2"/>
      <c s="78" r="M2"/>
    </row>
    <row customHeight="1" r="3" ht="32.25">
      <c s="5" r="A3"/>
      <c s="5" r="B3"/>
      <c s="5" r="C3"/>
      <c t="s" s="79" r="E3">
        <v>864</v>
      </c>
      <c s="77" r="I3"/>
      <c s="78" r="J3"/>
      <c s="5" r="K3"/>
      <c s="77" r="L3"/>
      <c s="78" r="M3"/>
    </row>
    <row customHeight="1" r="4" ht="12.75">
      <c s="5" r="A4"/>
      <c s="5" r="B4"/>
      <c s="5" r="C4"/>
      <c s="5" r="E4"/>
      <c s="5" r="F4"/>
      <c s="5" r="G4"/>
      <c s="77" r="I4"/>
      <c s="78" r="J4"/>
      <c s="5" r="K4"/>
      <c s="77" r="L4"/>
      <c s="78" r="M4"/>
    </row>
    <row customHeight="1" r="5" ht="12.75">
      <c s="5" r="A5"/>
      <c s="5" r="B5"/>
      <c s="5" r="C5"/>
      <c t="s" s="80" r="E5">
        <v>865</v>
      </c>
      <c s="77" r="I5"/>
      <c s="78" r="J5"/>
      <c s="5" r="K5"/>
      <c s="77" r="L5"/>
      <c s="78" r="M5"/>
    </row>
    <row customHeight="1" r="6" ht="12.75">
      <c s="5" r="A6"/>
      <c s="5" r="B6"/>
      <c s="5" r="C6"/>
      <c s="5" r="E6"/>
      <c s="5" r="F6"/>
      <c s="5" r="G6"/>
      <c s="77" r="I6"/>
      <c s="78" r="J6"/>
      <c s="5" r="K6"/>
      <c s="77" r="L6"/>
      <c s="78" r="M6"/>
    </row>
    <row customHeight="1" r="7" ht="12.75">
      <c t="s" s="10" r="A7">
        <v>866</v>
      </c>
      <c s="5" r="C7"/>
      <c t="s" s="10" r="E7">
        <v>867</v>
      </c>
      <c s="5" r="G7"/>
      <c s="77" r="I7"/>
      <c s="78" r="J7"/>
      <c s="5" r="K7"/>
      <c s="77" r="L7"/>
      <c s="78" r="M7"/>
    </row>
    <row customHeight="1" r="8" ht="12.75">
      <c t="s" s="15" r="A8">
        <v>868</v>
      </c>
      <c s="81" r="B8">
        <v>30.0</v>
      </c>
      <c s="5" r="C8"/>
      <c t="s" s="15" r="E8">
        <v>869</v>
      </c>
      <c s="81" r="F8">
        <v>33.0</v>
      </c>
      <c s="5" r="G8"/>
      <c s="77" r="I8"/>
      <c s="78" r="J8"/>
      <c s="5" r="K8"/>
      <c t="s" s="77" r="L8">
        <v>870</v>
      </c>
      <c t="str" s="78" r="M8">
        <f>F8/B8</f>
        <v>1.10</v>
      </c>
    </row>
    <row customHeight="1" r="9" ht="12.75">
      <c t="s" s="15" r="A9">
        <v>871</v>
      </c>
      <c s="81" r="B9">
        <v>31.0</v>
      </c>
      <c s="5" r="C9"/>
      <c t="s" s="15" r="E9">
        <v>872</v>
      </c>
      <c s="81" r="F9">
        <v>28.0</v>
      </c>
      <c s="5" r="G9"/>
      <c t="s" s="77" r="I9">
        <v>873</v>
      </c>
      <c t="str" s="78" r="J9">
        <f>B9/F9</f>
        <v>1.11</v>
      </c>
      <c s="5" r="K9"/>
      <c s="77" r="L9"/>
      <c s="78" r="M9"/>
    </row>
    <row customHeight="1" r="10" ht="12.75">
      <c s="5" r="A10"/>
      <c s="5" r="B10"/>
      <c s="5" r="C10"/>
      <c s="5" r="E10"/>
      <c s="5" r="F10"/>
      <c s="5" r="G10"/>
      <c s="77" r="I10"/>
      <c s="78" r="J10"/>
      <c s="5" r="K10"/>
      <c s="77" r="L10"/>
      <c s="78" r="M10"/>
    </row>
    <row customHeight="1" r="11" ht="12.75">
      <c t="s" s="11" r="A11">
        <v>874</v>
      </c>
      <c s="5" r="C11"/>
      <c t="s" s="11" r="E11">
        <v>875</v>
      </c>
      <c s="5" r="G11"/>
      <c s="77" r="I11"/>
      <c s="78" r="J11"/>
      <c s="5" r="K11"/>
      <c s="77" r="L11"/>
      <c s="78" r="M11"/>
    </row>
    <row customHeight="1" r="12" ht="12.75">
      <c t="s" s="16" r="A12">
        <v>876</v>
      </c>
      <c s="82" r="B12">
        <v>3.0</v>
      </c>
      <c s="5" r="C12"/>
      <c t="str" s="83" r="D12">
        <f>sum(B12:B17)</f>
        <v>61</v>
      </c>
      <c t="s" s="16" r="E12">
        <v>877</v>
      </c>
      <c s="82" r="F12">
        <v>18.0</v>
      </c>
      <c s="5" r="G12"/>
      <c s="77" r="I12"/>
      <c s="78" r="J12"/>
      <c s="5" r="K12"/>
      <c t="s" s="84" r="L12">
        <v>878</v>
      </c>
      <c t="str" s="85" r="M12">
        <f>F12/B12</f>
        <v>6.00</v>
      </c>
    </row>
    <row customHeight="1" r="13" ht="12.75">
      <c t="s" s="16" r="A13">
        <v>879</v>
      </c>
      <c s="82" r="B13">
        <v>16.0</v>
      </c>
      <c s="5" r="C13"/>
      <c t="s" s="16" r="E13">
        <v>880</v>
      </c>
      <c s="82" r="F13">
        <v>16.0</v>
      </c>
      <c s="5" r="G13"/>
      <c s="77" r="I13"/>
      <c s="78" r="J13"/>
      <c s="5" r="K13"/>
      <c s="77" r="L13"/>
      <c s="78" r="M13"/>
    </row>
    <row customHeight="1" r="14" ht="12.75">
      <c t="s" s="16" r="A14">
        <v>881</v>
      </c>
      <c s="82" r="B14">
        <v>26.0</v>
      </c>
      <c s="5" r="C14"/>
      <c t="s" s="16" r="E14">
        <v>882</v>
      </c>
      <c s="82" r="F14">
        <v>13.0</v>
      </c>
      <c s="5" r="G14"/>
      <c t="s" s="77" r="I14">
        <v>883</v>
      </c>
      <c t="str" s="78" r="J14">
        <f>B14/F14</f>
        <v>2.00</v>
      </c>
      <c s="5" r="K14"/>
      <c s="77" r="L14"/>
      <c s="78" r="M14"/>
    </row>
    <row customHeight="1" r="15" ht="12.75">
      <c t="s" s="16" r="A15">
        <v>884</v>
      </c>
      <c s="82" r="B15">
        <v>16.0</v>
      </c>
      <c s="5" r="C15"/>
      <c t="s" s="16" r="E15">
        <v>885</v>
      </c>
      <c s="82" r="F15">
        <v>8.0</v>
      </c>
      <c s="5" r="G15"/>
      <c t="s" s="77" r="I15">
        <v>886</v>
      </c>
      <c t="str" s="78" r="J15">
        <f>B15/F15</f>
        <v>2.00</v>
      </c>
      <c s="5" r="K15"/>
      <c s="77" r="L15"/>
      <c s="78" r="M15"/>
    </row>
    <row customHeight="1" r="16" ht="12.75">
      <c t="s" s="16" r="A16">
        <v>887</v>
      </c>
      <c s="82" r="B16">
        <v>0.0</v>
      </c>
      <c s="5" r="C16"/>
      <c t="s" s="16" r="E16">
        <v>888</v>
      </c>
      <c s="82" r="F16">
        <v>6.0</v>
      </c>
      <c s="5" r="G16"/>
      <c s="77" r="I16"/>
      <c s="78" r="J16"/>
      <c s="5" r="K16"/>
      <c t="s" s="77" r="L16">
        <v>889</v>
      </c>
      <c t="str" s="78" r="M16">
        <f>F16/B16</f>
        <v>#DIV/0!</v>
      </c>
    </row>
    <row customHeight="1" r="17" ht="12.75">
      <c t="s" s="16" r="A17">
        <v>890</v>
      </c>
      <c t="str" s="17" r="B17">
        <f>C30+C24</f>
        <v>0</v>
      </c>
      <c s="5" r="C17"/>
      <c t="s" s="16" r="E17">
        <v>891</v>
      </c>
      <c s="82" r="F17">
        <v>1.0</v>
      </c>
      <c s="5" r="G17"/>
      <c s="77" r="I17"/>
      <c s="78" r="J17"/>
      <c s="5" r="K17"/>
      <c t="s" s="77" r="L17">
        <v>892</v>
      </c>
      <c t="s" s="78" r="M17">
        <v>893</v>
      </c>
    </row>
    <row customHeight="1" r="18" ht="12.75">
      <c s="5" r="A18"/>
      <c s="5" r="B18"/>
      <c s="5" r="C18"/>
      <c s="5" r="E18"/>
      <c s="5" r="F18"/>
      <c s="5" r="G18"/>
      <c s="77" r="I18"/>
      <c s="78" r="J18"/>
      <c s="5" r="K18"/>
      <c s="77" r="L18"/>
      <c s="78" r="M18"/>
    </row>
    <row customHeight="1" r="19" ht="12.75">
      <c t="s" s="72" r="A19">
        <v>894</v>
      </c>
      <c t="s" s="23" r="B19">
        <v>895</v>
      </c>
      <c s="86" r="C19">
        <v>3.0</v>
      </c>
      <c t="s" s="72" r="E19">
        <v>896</v>
      </c>
      <c t="s" s="23" r="F19">
        <v>897</v>
      </c>
      <c s="86" r="G19">
        <v>10.0</v>
      </c>
      <c s="77" r="I19"/>
      <c s="78" r="J19"/>
      <c s="5" r="K19"/>
      <c t="s" s="77" r="L19">
        <v>898</v>
      </c>
      <c t="str" s="78" r="M19">
        <f>G19/C19</f>
        <v>3.33</v>
      </c>
    </row>
    <row customHeight="1" r="20" ht="12.75">
      <c t="s" s="23" r="B20">
        <v>899</v>
      </c>
      <c s="86" r="C20">
        <v>8.0</v>
      </c>
      <c t="s" s="23" r="F20">
        <v>900</v>
      </c>
      <c s="86" r="G20">
        <v>8.0</v>
      </c>
      <c s="77" r="I20"/>
      <c s="78" r="J20"/>
      <c s="5" r="K20"/>
      <c s="77" r="L20"/>
      <c s="78" r="M20"/>
    </row>
    <row customHeight="1" r="21" ht="12.75">
      <c t="s" s="23" r="B21">
        <v>901</v>
      </c>
      <c s="86" r="C21">
        <v>15.0</v>
      </c>
      <c t="s" s="23" r="F21">
        <v>902</v>
      </c>
      <c s="86" r="G21">
        <v>7.0</v>
      </c>
      <c t="s" s="77" r="I21">
        <v>903</v>
      </c>
      <c t="str" s="78" r="J21">
        <f>C21/G21</f>
        <v>2.14</v>
      </c>
      <c s="5" r="K21"/>
      <c s="77" r="L21"/>
      <c s="78" r="M21"/>
    </row>
    <row customHeight="1" r="22" ht="12.75">
      <c t="s" s="23" r="B22">
        <v>904</v>
      </c>
      <c s="86" r="C22">
        <v>4.0</v>
      </c>
      <c t="s" s="23" r="F22">
        <v>905</v>
      </c>
      <c s="86" r="G22">
        <v>4.0</v>
      </c>
      <c s="77" r="I22"/>
      <c s="78" r="J22"/>
      <c s="5" r="K22"/>
      <c s="77" r="L22"/>
      <c s="78" r="M22"/>
    </row>
    <row customHeight="1" r="23" ht="12.75">
      <c t="s" s="23" r="B23">
        <v>906</v>
      </c>
      <c s="86" r="C23">
        <v>0.0</v>
      </c>
      <c t="s" s="23" r="F23">
        <v>907</v>
      </c>
      <c s="86" r="G23">
        <v>4.0</v>
      </c>
      <c s="77" r="I23"/>
      <c s="78" r="J23"/>
      <c s="5" r="K23"/>
      <c t="s" s="77" r="L23">
        <v>908</v>
      </c>
      <c t="s" s="78" r="M23">
        <v>909</v>
      </c>
    </row>
    <row customHeight="1" r="24" ht="12.75">
      <c t="s" s="29" r="B24">
        <v>910</v>
      </c>
      <c s="87" r="C24">
        <v>0.0</v>
      </c>
      <c t="s" s="29" r="F24">
        <v>911</v>
      </c>
      <c s="87" r="G24">
        <v>1.0</v>
      </c>
      <c s="77" r="I24"/>
      <c s="78" r="J24"/>
      <c s="5" r="K24"/>
      <c t="s" s="77" r="L24">
        <v>912</v>
      </c>
      <c t="s" s="78" r="M24">
        <v>913</v>
      </c>
    </row>
    <row customHeight="1" r="25" ht="12.75">
      <c t="s" s="72" r="A25">
        <v>914</v>
      </c>
      <c t="s" s="23" r="B25">
        <v>915</v>
      </c>
      <c s="86" r="C25">
        <v>0.0</v>
      </c>
      <c t="s" s="31" r="E25">
        <v>916</v>
      </c>
      <c t="s" s="23" r="F25">
        <v>917</v>
      </c>
      <c s="86" r="G25">
        <v>9.0</v>
      </c>
      <c s="77" r="I25"/>
      <c s="78" r="J25"/>
      <c s="5" r="K25"/>
      <c t="s" s="77" r="L25">
        <v>918</v>
      </c>
      <c t="s" s="78" r="M25">
        <v>919</v>
      </c>
    </row>
    <row customHeight="1" r="26" ht="12.75">
      <c t="s" s="23" r="B26">
        <v>920</v>
      </c>
      <c s="86" r="C26">
        <v>5.0</v>
      </c>
      <c t="s" s="23" r="F26">
        <v>921</v>
      </c>
      <c s="86" r="G26">
        <v>8.0</v>
      </c>
      <c s="77" r="I26"/>
      <c s="78" r="J26"/>
      <c s="5" r="K26"/>
      <c t="s" s="77" r="L26">
        <v>922</v>
      </c>
      <c t="str" s="78" r="M26">
        <f>G26/C26</f>
        <v>1.60</v>
      </c>
    </row>
    <row customHeight="1" r="27" ht="12.75">
      <c t="s" s="23" r="B27">
        <v>923</v>
      </c>
      <c s="86" r="C27">
        <v>14.0</v>
      </c>
      <c t="s" s="23" r="F27">
        <v>924</v>
      </c>
      <c s="86" r="G27">
        <v>6.0</v>
      </c>
      <c t="s" s="77" r="I27">
        <v>925</v>
      </c>
      <c t="str" s="78" r="J27">
        <f>C27/G27</f>
        <v>2.33</v>
      </c>
      <c s="5" r="K27"/>
      <c s="77" r="L27"/>
      <c s="78" r="M27"/>
    </row>
    <row customHeight="1" r="28" ht="12.75">
      <c t="s" s="23" r="B28">
        <v>926</v>
      </c>
      <c s="86" r="C28">
        <v>11.0</v>
      </c>
      <c t="s" s="23" r="F28">
        <v>927</v>
      </c>
      <c s="86" r="G28">
        <v>3.0</v>
      </c>
      <c t="s" s="84" r="I28">
        <v>928</v>
      </c>
      <c t="str" s="85" r="J28">
        <f>C28/G28</f>
        <v>3.67</v>
      </c>
      <c s="5" r="K28"/>
      <c s="77" r="L28"/>
      <c s="78" r="M28"/>
    </row>
    <row customHeight="1" r="29" ht="12.75">
      <c t="s" s="23" r="B29">
        <v>929</v>
      </c>
      <c s="86" r="C29">
        <v>1.0</v>
      </c>
      <c t="s" s="23" r="F29">
        <v>930</v>
      </c>
      <c s="86" r="G29">
        <v>2.0</v>
      </c>
      <c s="77" r="I29"/>
      <c s="78" r="J29"/>
      <c s="5" r="K29"/>
      <c t="s" s="77" r="L29">
        <v>931</v>
      </c>
      <c t="str" s="78" r="M29">
        <f>G29/C29</f>
        <v>2.00</v>
      </c>
    </row>
    <row customHeight="1" r="30" ht="12.75">
      <c t="s" s="29" r="B30">
        <v>932</v>
      </c>
      <c s="87" r="C30">
        <v>0.0</v>
      </c>
      <c t="s" s="29" r="F30">
        <v>933</v>
      </c>
      <c s="87" r="G30">
        <v>0.0</v>
      </c>
      <c s="77" r="I30"/>
      <c s="78" r="J30"/>
      <c s="5" r="K30"/>
      <c s="77" r="L30"/>
      <c s="78" r="M30"/>
    </row>
    <row customHeight="1" r="31" ht="12.75">
      <c s="5" r="A31"/>
      <c s="5" r="B31"/>
      <c s="5" r="C31"/>
      <c s="5" r="E31"/>
      <c s="5" r="F31"/>
      <c s="5" r="G31"/>
      <c s="77" r="I31"/>
      <c s="78" r="J31"/>
      <c s="5" r="K31"/>
      <c s="77" r="L31"/>
      <c s="78" r="M31"/>
    </row>
    <row customHeight="1" r="32" ht="12.75">
      <c t="s" s="88" r="A32">
        <v>934</v>
      </c>
      <c s="89" r="C32">
        <v>48.0</v>
      </c>
      <c s="5" r="E32"/>
      <c s="5" r="F32"/>
      <c s="5" r="G32"/>
      <c s="77" r="I32"/>
      <c s="78" r="J32"/>
      <c s="5" r="K32"/>
      <c s="77" r="L32"/>
      <c s="78" r="M32"/>
    </row>
    <row customHeight="1" r="33" ht="12.75">
      <c t="s" s="88" r="A33">
        <v>935</v>
      </c>
      <c s="89" r="C33">
        <v>53.0</v>
      </c>
      <c s="5" r="E33"/>
      <c s="5" r="F33"/>
      <c s="5" r="G33"/>
      <c s="77" r="I33"/>
      <c s="78" r="J33"/>
      <c s="5" r="K33"/>
      <c s="77" r="L33"/>
      <c s="78" r="M33"/>
    </row>
    <row customHeight="1" r="34" ht="12.75">
      <c s="5" r="A34"/>
      <c s="5" r="B34"/>
      <c s="5" r="C34"/>
      <c s="5" r="E34"/>
      <c s="5" r="F34"/>
      <c s="5" r="G34"/>
      <c s="77" r="I34"/>
      <c s="78" r="J34"/>
      <c s="5" r="K34"/>
      <c s="77" r="L34"/>
      <c s="78" r="M34"/>
    </row>
    <row customHeight="1" r="35" ht="12.75">
      <c t="s" s="12" r="A35">
        <v>936</v>
      </c>
      <c s="5" r="C35"/>
      <c t="s" s="12" r="E35">
        <v>937</v>
      </c>
      <c s="5" r="G35"/>
      <c s="77" r="I35"/>
      <c s="78" r="J35"/>
      <c s="5" r="K35"/>
      <c s="77" r="L35"/>
      <c s="78" r="M35"/>
    </row>
    <row customHeight="1" r="36" ht="12.75">
      <c t="s" s="13" r="A36">
        <v>938</v>
      </c>
      <c s="90" r="B36">
        <v>1.0</v>
      </c>
      <c s="5" r="C36"/>
      <c t="s" s="13" r="E36">
        <v>939</v>
      </c>
      <c s="90" r="F36">
        <v>0.0</v>
      </c>
      <c s="68" r="G36"/>
      <c t="str" s="83" r="H36">
        <f>sum(F36:F43)</f>
        <v>62</v>
      </c>
      <c t="s" s="77" r="I36">
        <v>940</v>
      </c>
      <c t="s" s="78" r="J36">
        <v>941</v>
      </c>
      <c s="5" r="K36"/>
      <c s="77" r="L36"/>
      <c s="78" r="M36"/>
    </row>
    <row customHeight="1" r="37" ht="29.25">
      <c t="s" s="20" r="A37">
        <v>942</v>
      </c>
      <c s="90" r="B37">
        <v>10.0</v>
      </c>
      <c s="5" r="C37"/>
      <c t="s" s="20" r="E37">
        <v>943</v>
      </c>
      <c s="90" r="F37">
        <v>2.0</v>
      </c>
      <c s="5" r="G37"/>
      <c t="s" s="91" r="I37">
        <v>944</v>
      </c>
      <c t="str" s="85" r="J37">
        <f>B37/F37</f>
        <v>5.00</v>
      </c>
      <c s="5" r="K37"/>
      <c s="77" r="L37"/>
      <c s="78" r="M37"/>
    </row>
    <row customHeight="1" r="38" ht="38.25">
      <c t="s" s="20" r="A38">
        <v>945</v>
      </c>
      <c s="90" r="B38">
        <v>34.0</v>
      </c>
      <c s="5" r="C38"/>
      <c t="s" s="20" r="E38">
        <v>946</v>
      </c>
      <c s="90" r="F38">
        <v>9.0</v>
      </c>
      <c s="5" r="G38"/>
      <c t="s" s="91" r="I38">
        <v>947</v>
      </c>
      <c t="str" s="85" r="J38">
        <f>B38/F38</f>
        <v>3.78</v>
      </c>
      <c s="5" r="K38"/>
      <c s="77" r="L38"/>
      <c s="78" r="M38"/>
    </row>
    <row customHeight="1" r="39" ht="25.5">
      <c t="s" s="20" r="A39">
        <v>948</v>
      </c>
      <c s="90" r="B39">
        <v>6.0</v>
      </c>
      <c s="5" r="C39"/>
      <c t="s" s="20" r="E39">
        <v>949</v>
      </c>
      <c s="90" r="F39">
        <v>10.0</v>
      </c>
      <c s="5" r="G39"/>
      <c s="77" r="I39"/>
      <c s="85" r="J39"/>
      <c s="5" r="K39"/>
      <c t="s" s="92" r="L39">
        <v>950</v>
      </c>
      <c t="str" s="78" r="M39">
        <f>F39/B39</f>
        <v>1.67</v>
      </c>
    </row>
    <row customHeight="1" r="40" ht="12.75">
      <c t="s" s="13" r="A40">
        <v>951</v>
      </c>
      <c s="90" r="B40">
        <v>2.0</v>
      </c>
      <c s="5" r="C40"/>
      <c t="s" s="13" r="E40">
        <v>952</v>
      </c>
      <c s="90" r="F40">
        <v>10.0</v>
      </c>
      <c s="5" r="G40"/>
      <c s="77" r="I40"/>
      <c s="85" r="J40"/>
      <c s="5" r="K40"/>
      <c t="s" s="84" r="L40">
        <v>953</v>
      </c>
      <c t="str" s="85" r="M40">
        <f>F40/B40</f>
        <v>5.00</v>
      </c>
    </row>
    <row customHeight="1" r="41" ht="12.75">
      <c t="s" s="13" r="A41">
        <v>954</v>
      </c>
      <c s="90" r="B41">
        <v>0.0</v>
      </c>
      <c s="5" r="C41"/>
      <c t="s" s="13" r="E41">
        <v>955</v>
      </c>
      <c s="90" r="F41">
        <v>5.0</v>
      </c>
      <c s="5" r="G41"/>
      <c s="77" r="I41"/>
      <c s="85" r="J41"/>
      <c s="5" r="K41"/>
      <c t="s" s="84" r="L41">
        <v>956</v>
      </c>
      <c t="s" s="85" r="M41">
        <v>957</v>
      </c>
    </row>
    <row customHeight="1" r="42" ht="12.75">
      <c t="s" s="13" r="A42">
        <v>958</v>
      </c>
      <c s="90" r="B42">
        <v>2.0</v>
      </c>
      <c s="5" r="C42"/>
      <c t="s" s="13" r="E42">
        <v>959</v>
      </c>
      <c s="90" r="F42">
        <v>11.0</v>
      </c>
      <c s="5" r="G42"/>
      <c s="77" r="I42"/>
      <c s="85" r="J42"/>
      <c s="5" r="K42"/>
      <c t="s" s="84" r="L42">
        <v>960</v>
      </c>
      <c t="str" s="85" r="M42">
        <f>F42/B42</f>
        <v>5.50</v>
      </c>
    </row>
    <row customHeight="1" r="43" ht="12.75">
      <c t="s" s="13" r="A43">
        <v>961</v>
      </c>
      <c s="90" r="B43">
        <v>6.0</v>
      </c>
      <c s="5" r="C43"/>
      <c t="s" s="13" r="E43">
        <v>962</v>
      </c>
      <c s="90" r="F43">
        <v>15.0</v>
      </c>
      <c s="5" r="G43"/>
      <c s="77" r="I43"/>
      <c s="85" r="J43"/>
      <c s="5" r="K43"/>
      <c s="77" r="L43"/>
      <c s="78" r="M43"/>
    </row>
    <row customHeight="1" r="44" ht="12.75">
      <c s="5" r="A44"/>
      <c s="5" r="B44"/>
      <c s="5" r="C44"/>
      <c s="5" r="E44"/>
      <c s="5" r="F44"/>
      <c s="5" r="G44"/>
      <c s="77" r="I44"/>
      <c s="78" r="J44"/>
      <c s="5" r="K44"/>
      <c s="77" r="L44"/>
      <c s="78" r="M44"/>
    </row>
    <row customHeight="1" r="45" ht="12.75">
      <c t="s" s="93" r="A45">
        <v>963</v>
      </c>
      <c t="s" s="26" r="B45">
        <v>964</v>
      </c>
      <c s="94" r="C45">
        <v>0.0</v>
      </c>
      <c t="s" s="93" r="E45">
        <v>965</v>
      </c>
      <c t="s" s="26" r="F45">
        <v>966</v>
      </c>
      <c s="95" r="G45">
        <v>0.0</v>
      </c>
      <c s="77" r="I45"/>
      <c s="78" r="J45"/>
      <c s="5" r="K45"/>
      <c s="77" r="L45"/>
      <c s="78" r="M45"/>
    </row>
    <row customHeight="1" r="46" ht="25.5">
      <c t="s" s="26" r="B46">
        <v>967</v>
      </c>
      <c s="94" r="C46">
        <v>1.0</v>
      </c>
      <c t="s" s="26" r="F46">
        <v>968</v>
      </c>
      <c s="95" r="G46">
        <v>1.0</v>
      </c>
      <c s="77" r="I46"/>
      <c s="78" r="J46"/>
      <c s="5" r="K46"/>
      <c s="77" r="L46"/>
      <c s="78" r="M46"/>
    </row>
    <row customHeight="1" r="47" ht="38.25">
      <c t="s" s="26" r="B47">
        <v>969</v>
      </c>
      <c s="94" r="C47">
        <v>21.0</v>
      </c>
      <c t="s" s="26" r="F47">
        <v>970</v>
      </c>
      <c s="95" r="G47">
        <v>4.0</v>
      </c>
      <c t="s" s="84" r="I47">
        <v>971</v>
      </c>
      <c t="str" s="85" r="J47">
        <f>C47/G47</f>
        <v>5.25</v>
      </c>
      <c s="5" r="K47"/>
      <c s="77" r="L47"/>
      <c s="78" r="M47"/>
    </row>
    <row customHeight="1" r="48" ht="25.5">
      <c t="s" s="26" r="B48">
        <v>972</v>
      </c>
      <c s="94" r="C48">
        <v>3.0</v>
      </c>
      <c t="s" s="26" r="F48">
        <v>973</v>
      </c>
      <c s="95" r="G48">
        <v>5.0</v>
      </c>
      <c s="77" r="I48"/>
      <c s="78" r="J48"/>
      <c s="5" r="K48"/>
      <c t="s" s="77" r="L48">
        <v>974</v>
      </c>
      <c t="str" s="78" r="M48">
        <f>G48/C48</f>
        <v>1.67</v>
      </c>
    </row>
    <row customHeight="1" r="49" ht="12.75">
      <c t="s" s="26" r="B49">
        <v>975</v>
      </c>
      <c s="94" r="C49">
        <v>1.0</v>
      </c>
      <c t="s" s="26" r="F49">
        <v>976</v>
      </c>
      <c s="95" r="G49">
        <v>7.0</v>
      </c>
      <c s="77" r="I49"/>
      <c s="78" r="J49"/>
      <c s="5" r="K49"/>
      <c t="s" s="77" r="L49">
        <v>977</v>
      </c>
      <c t="str" s="78" r="M49">
        <f>G49/C49</f>
        <v>7.00</v>
      </c>
    </row>
    <row customHeight="1" r="50" ht="12.75">
      <c t="s" s="26" r="B50">
        <v>978</v>
      </c>
      <c s="94" r="C50">
        <v>0.0</v>
      </c>
      <c t="s" s="26" r="F50">
        <v>979</v>
      </c>
      <c s="95" r="G50">
        <v>1.0</v>
      </c>
      <c s="77" r="I50"/>
      <c s="78" r="J50"/>
      <c s="5" r="K50"/>
      <c t="s" s="77" r="L50">
        <v>980</v>
      </c>
      <c t="s" s="78" r="M50">
        <v>981</v>
      </c>
    </row>
    <row customHeight="1" r="51" ht="12.75">
      <c t="s" s="26" r="B51">
        <v>982</v>
      </c>
      <c s="94" r="C51">
        <v>0.0</v>
      </c>
      <c t="s" s="26" r="F51">
        <v>983</v>
      </c>
      <c s="95" r="G51">
        <v>7.0</v>
      </c>
      <c s="77" r="I51"/>
      <c s="78" r="J51"/>
      <c s="5" r="K51"/>
      <c t="s" s="77" r="L51">
        <v>984</v>
      </c>
      <c t="s" s="78" r="M51">
        <v>985</v>
      </c>
    </row>
    <row customHeight="1" r="52" ht="12.75">
      <c t="s" s="26" r="B52">
        <v>986</v>
      </c>
      <c s="94" r="C52">
        <v>4.0</v>
      </c>
      <c t="s" s="26" r="F52">
        <v>987</v>
      </c>
      <c s="95" r="G52">
        <v>9.0</v>
      </c>
      <c s="77" r="I52"/>
      <c s="78" r="J52"/>
      <c s="5" r="K52"/>
      <c s="77" r="L52"/>
      <c s="78" r="M52"/>
    </row>
    <row customHeight="1" r="53" ht="12.75">
      <c t="s" s="96" r="A53">
        <v>988</v>
      </c>
      <c t="s" s="26" r="B53">
        <v>989</v>
      </c>
      <c s="94" r="C53">
        <v>1.0</v>
      </c>
      <c t="s" s="96" r="E53">
        <v>990</v>
      </c>
      <c t="s" s="26" r="F53">
        <v>991</v>
      </c>
      <c s="95" r="G53">
        <v>0.0</v>
      </c>
      <c t="s" s="77" r="I53">
        <v>992</v>
      </c>
      <c t="s" s="78" r="J53">
        <v>993</v>
      </c>
      <c s="5" r="K53"/>
      <c s="77" r="L53"/>
      <c s="78" r="M53"/>
    </row>
    <row customHeight="1" r="54" ht="25.5">
      <c t="s" s="26" r="B54">
        <v>994</v>
      </c>
      <c s="94" r="C54">
        <v>9.0</v>
      </c>
      <c t="s" s="26" r="F54">
        <v>995</v>
      </c>
      <c s="95" r="G54">
        <v>1.0</v>
      </c>
      <c t="s" s="84" r="I54">
        <v>996</v>
      </c>
      <c t="str" s="85" r="J54">
        <f>C54/G54</f>
        <v>9.00</v>
      </c>
      <c s="5" r="K54"/>
      <c s="77" r="L54"/>
      <c s="78" r="M54"/>
    </row>
    <row customHeight="1" r="55" ht="38.25">
      <c t="s" s="26" r="B55">
        <v>997</v>
      </c>
      <c s="94" r="C55">
        <v>13.0</v>
      </c>
      <c t="s" s="26" r="F55">
        <v>998</v>
      </c>
      <c s="95" r="G55">
        <v>5.0</v>
      </c>
      <c t="s" s="77" r="I55">
        <v>999</v>
      </c>
      <c t="str" s="78" r="J55">
        <f>C55/G55</f>
        <v>2.60</v>
      </c>
      <c s="5" r="K55"/>
      <c s="77" r="L55"/>
      <c s="78" r="M55"/>
    </row>
    <row customHeight="1" r="56" ht="25.5">
      <c t="s" s="26" r="B56">
        <v>1000</v>
      </c>
      <c s="94" r="C56">
        <v>3.0</v>
      </c>
      <c t="s" s="26" r="F56">
        <v>1001</v>
      </c>
      <c s="95" r="G56">
        <v>4.0</v>
      </c>
      <c s="77" r="I56"/>
      <c s="78" r="J56"/>
      <c s="5" r="K56"/>
      <c t="s" s="77" r="L56">
        <v>1002</v>
      </c>
      <c t="str" s="78" r="M56">
        <f>G56/C56</f>
        <v>1.33</v>
      </c>
    </row>
    <row customHeight="1" r="57" ht="12.75">
      <c t="s" s="26" r="B57">
        <v>1003</v>
      </c>
      <c s="94" r="C57">
        <v>1.0</v>
      </c>
      <c t="s" s="26" r="F57">
        <v>1004</v>
      </c>
      <c s="95" r="G57">
        <v>3.0</v>
      </c>
      <c s="77" r="I57"/>
      <c s="78" r="J57"/>
      <c s="5" r="K57"/>
      <c t="s" s="77" r="L57">
        <v>1005</v>
      </c>
      <c t="str" s="78" r="M57">
        <f>G57/C57</f>
        <v>3.00</v>
      </c>
    </row>
    <row customHeight="1" r="58" ht="12.75">
      <c t="s" s="26" r="B58">
        <v>1006</v>
      </c>
      <c s="94" r="C58">
        <v>0.0</v>
      </c>
      <c t="s" s="26" r="F58">
        <v>1007</v>
      </c>
      <c s="95" r="G58">
        <v>4.0</v>
      </c>
      <c s="77" r="I58"/>
      <c s="78" r="J58"/>
      <c s="5" r="K58"/>
      <c t="s" s="77" r="L58">
        <v>1008</v>
      </c>
      <c t="s" s="78" r="M58">
        <v>1009</v>
      </c>
    </row>
    <row customHeight="1" r="59" ht="12.75">
      <c t="s" s="26" r="B59">
        <v>1010</v>
      </c>
      <c s="94" r="C59">
        <v>2.0</v>
      </c>
      <c t="s" s="26" r="F59">
        <v>1011</v>
      </c>
      <c s="95" r="G59">
        <v>4.0</v>
      </c>
      <c s="77" r="I59"/>
      <c s="78" r="J59"/>
      <c s="5" r="K59"/>
      <c t="s" s="77" r="L59">
        <v>1012</v>
      </c>
      <c t="str" s="78" r="M59">
        <f>G59/C59</f>
        <v>2.00</v>
      </c>
    </row>
    <row customHeight="1" r="60" ht="12.75">
      <c t="s" s="26" r="B60">
        <v>1013</v>
      </c>
      <c s="94" r="C60">
        <v>2.0</v>
      </c>
      <c t="s" s="26" r="F60">
        <v>1014</v>
      </c>
      <c s="95" r="G60">
        <v>6.0</v>
      </c>
      <c s="97" r="I60"/>
      <c s="78" r="J60"/>
      <c s="5" r="K60"/>
      <c s="97" r="L60"/>
      <c s="78" r="M60"/>
    </row>
    <row customHeight="1" r="61" ht="12.75">
      <c s="5" r="A61"/>
      <c s="5" r="B61"/>
      <c s="5" r="C61"/>
      <c s="5" r="D61"/>
      <c s="5" r="E61"/>
      <c s="5" r="F61"/>
      <c s="5" r="G61"/>
      <c s="5" r="H61"/>
      <c s="97" r="I61"/>
      <c s="78" r="J61"/>
      <c s="5" r="K61"/>
      <c s="97" r="L61"/>
      <c s="78" r="M61"/>
    </row>
    <row customHeight="1" r="62" ht="12.75">
      <c t="s" s="98" r="A62">
        <v>1015</v>
      </c>
      <c t="s" s="99" r="B62">
        <v>1016</v>
      </c>
      <c s="100" r="C62"/>
      <c s="101" r="D62"/>
      <c t="s" s="98" r="E62">
        <v>1017</v>
      </c>
      <c t="s" s="99" r="F62">
        <v>1018</v>
      </c>
      <c s="5" r="G62"/>
      <c s="5" r="H62"/>
      <c t="s" s="102" r="I62">
        <v>1019</v>
      </c>
      <c t="s" s="103" r="J62">
        <v>1020</v>
      </c>
      <c s="5" r="K62"/>
      <c t="s" s="102" r="L62">
        <v>1021</v>
      </c>
      <c t="s" s="103" r="M62">
        <v>1022</v>
      </c>
    </row>
    <row customHeight="1" r="63" ht="12.75">
      <c t="s" s="104" r="A63">
        <v>1023</v>
      </c>
      <c s="98" r="B63">
        <v>52.0</v>
      </c>
      <c s="100" r="C63"/>
      <c s="101" r="D63"/>
      <c t="s" s="104" r="E63">
        <v>1024</v>
      </c>
      <c s="105" r="F63">
        <v>37.0</v>
      </c>
      <c s="5" r="G63"/>
      <c s="5" r="H63"/>
      <c t="s" s="106" r="I63">
        <v>1025</v>
      </c>
      <c t="str" s="107" r="J63">
        <f>B63-F63</f>
        <v>15</v>
      </c>
      <c s="5" r="K63"/>
      <c s="97" r="L63"/>
      <c s="78" r="M63"/>
    </row>
    <row customHeight="1" r="64" ht="12.75">
      <c t="s" s="104" r="A64">
        <v>1026</v>
      </c>
      <c s="98" r="B64">
        <v>7.0</v>
      </c>
      <c s="100" r="C64"/>
      <c s="101" r="D64"/>
      <c t="s" s="104" r="E64">
        <v>1027</v>
      </c>
      <c s="105" r="F64">
        <v>14.0</v>
      </c>
      <c s="5" r="G64"/>
      <c s="5" r="H64"/>
      <c s="97" r="I64"/>
      <c s="78" r="J64"/>
      <c s="5" r="K64"/>
      <c t="s" s="106" r="L64">
        <v>1028</v>
      </c>
      <c t="str" s="107" r="M64">
        <f>F64-B64</f>
        <v>7</v>
      </c>
    </row>
    <row customHeight="1" r="65" ht="12.75">
      <c t="s" s="104" r="A65">
        <v>1029</v>
      </c>
      <c s="98" r="B65">
        <v>0.0</v>
      </c>
      <c s="100" r="C65"/>
      <c s="101" r="D65"/>
      <c t="s" s="104" r="E65">
        <v>1030</v>
      </c>
      <c s="105" r="F65">
        <v>2.0</v>
      </c>
      <c s="5" r="G65"/>
      <c s="5" r="H65"/>
      <c s="97" r="I65"/>
      <c s="78" r="J65"/>
      <c s="5" r="K65"/>
      <c t="s" s="108" r="L65">
        <v>1031</v>
      </c>
      <c t="str" s="109" r="M65">
        <f>F65-B65</f>
        <v>2</v>
      </c>
    </row>
    <row customHeight="1" r="66" ht="12.75">
      <c t="s" s="104" r="A66">
        <v>1032</v>
      </c>
      <c s="110" r="B66">
        <v>0.0</v>
      </c>
      <c s="100" r="C66"/>
      <c s="101" r="D66"/>
      <c t="s" s="104" r="E66">
        <v>1033</v>
      </c>
      <c s="105" r="F66">
        <v>3.0</v>
      </c>
      <c s="5" r="G66"/>
      <c s="5" r="H66"/>
      <c s="97" r="I66"/>
      <c s="78" r="J66"/>
      <c s="5" r="K66"/>
      <c t="s" s="97" r="L66">
        <v>1034</v>
      </c>
      <c t="str" s="109" r="M66">
        <f>F66-B66</f>
        <v>3</v>
      </c>
    </row>
    <row customHeight="1" r="67" ht="12.75">
      <c t="s" s="104" r="A67">
        <v>1035</v>
      </c>
      <c s="99" r="B67">
        <v>2.0</v>
      </c>
      <c s="100" r="C67"/>
      <c s="101" r="D67"/>
      <c t="s" s="104" r="E67">
        <v>1036</v>
      </c>
      <c s="105" r="F67">
        <v>4.0</v>
      </c>
      <c s="5" r="G67"/>
      <c s="5" r="H67"/>
      <c s="97" r="I67"/>
      <c s="78" r="J67"/>
      <c s="5" r="K67"/>
      <c t="s" s="97" r="L67">
        <v>1037</v>
      </c>
      <c t="str" s="109" r="M67">
        <f>F67-B67</f>
        <v>2</v>
      </c>
    </row>
    <row customHeight="1" r="68" ht="12.75">
      <c t="s" s="104" r="A68">
        <v>1038</v>
      </c>
      <c s="110" r="B68">
        <v>0.0</v>
      </c>
      <c s="100" r="C68"/>
      <c s="101" r="D68"/>
      <c t="s" s="104" r="E68">
        <v>1039</v>
      </c>
      <c s="105" r="F68">
        <v>0.0</v>
      </c>
      <c s="5" r="G68"/>
      <c s="5" r="H68"/>
      <c s="97" r="I68"/>
      <c s="78" r="J68"/>
      <c s="5" r="K68"/>
      <c s="97" r="L68"/>
      <c s="109" r="M68"/>
    </row>
    <row customHeight="1" r="69" ht="12.75">
      <c t="s" s="104" r="A69">
        <v>1040</v>
      </c>
      <c s="98" r="B69">
        <v>0.0</v>
      </c>
      <c s="100" r="C69"/>
      <c s="101" r="D69"/>
      <c t="s" s="104" r="E69">
        <v>1041</v>
      </c>
      <c s="105" r="F69">
        <v>1.0</v>
      </c>
      <c s="5" r="G69"/>
      <c s="5" r="H69"/>
      <c s="97" r="I69"/>
      <c s="78" r="J69"/>
      <c s="5" r="K69"/>
      <c t="s" s="97" r="L69">
        <v>1042</v>
      </c>
      <c t="str" s="109" r="M69">
        <f>F69-B69</f>
        <v>1</v>
      </c>
    </row>
    <row customHeight="1" r="70" ht="12.75">
      <c s="5" r="A70"/>
      <c s="5" r="B70"/>
      <c s="5" r="C70"/>
      <c s="5" r="D70"/>
      <c s="5" r="E70"/>
      <c s="68" r="F70"/>
      <c s="5" r="G70"/>
      <c s="5" r="H70"/>
      <c s="111" r="I70"/>
      <c s="112" r="J70"/>
      <c s="5" r="K70"/>
      <c s="111" r="L70"/>
      <c s="112" r="M70"/>
    </row>
    <row customHeight="1" r="71" ht="12.75">
      <c s="5" r="A71"/>
      <c s="5" r="B71"/>
      <c s="5" r="C71"/>
      <c s="5" r="D71"/>
      <c s="5" r="E71"/>
      <c s="5" r="F71"/>
      <c s="5" r="G71"/>
      <c s="5" r="H71"/>
      <c s="5" r="I71"/>
      <c s="113" r="J71"/>
      <c s="5" r="K71"/>
      <c s="5" r="L71"/>
      <c s="113" r="M71"/>
    </row>
    <row customHeight="1" r="72" ht="12.75">
      <c s="5" r="A72"/>
      <c s="5" r="B72"/>
      <c s="5" r="C72"/>
      <c s="5" r="D72"/>
      <c s="5" r="E72"/>
      <c s="5" r="F72"/>
      <c s="5" r="G72"/>
      <c s="5" r="H72"/>
      <c s="5" r="I72"/>
      <c s="113" r="J72"/>
      <c s="5" r="K72"/>
      <c s="5" r="L72"/>
      <c s="113" r="M72"/>
    </row>
    <row customHeight="1" r="73" ht="12.75">
      <c s="5" r="A73"/>
      <c s="5" r="B73"/>
      <c s="5" r="C73"/>
      <c s="5" r="D73"/>
      <c s="5" r="E73"/>
      <c s="5" r="F73"/>
      <c s="5" r="G73"/>
      <c s="5" r="H73"/>
      <c s="5" r="I73"/>
      <c s="113" r="J73"/>
      <c s="5" r="K73"/>
      <c s="5" r="L73"/>
      <c s="113" r="M73"/>
    </row>
    <row customHeight="1" r="74" ht="12.75">
      <c s="5" r="A74"/>
      <c s="5" r="B74"/>
      <c s="5" r="C74"/>
      <c s="5" r="D74"/>
      <c s="5" r="E74"/>
      <c s="5" r="F74"/>
      <c s="5" r="G74"/>
      <c s="5" r="H74"/>
      <c s="5" r="I74"/>
      <c s="113" r="J74"/>
      <c s="5" r="K74"/>
      <c s="5" r="L74"/>
      <c s="113" r="M74"/>
    </row>
    <row customHeight="1" r="75" ht="12.75">
      <c s="5" r="A75"/>
      <c s="5" r="B75"/>
      <c s="5" r="C75"/>
      <c s="5" r="D75"/>
      <c s="5" r="E75"/>
      <c s="5" r="F75"/>
      <c s="5" r="G75"/>
      <c s="5" r="H75"/>
      <c s="5" r="I75"/>
      <c s="113" r="J75"/>
      <c s="5" r="K75"/>
      <c s="5" r="L75"/>
      <c s="113" r="M75"/>
    </row>
    <row customHeight="1" r="76" ht="12.75">
      <c s="5" r="A76"/>
      <c s="5" r="B76"/>
      <c s="5" r="C76"/>
      <c s="5" r="D76"/>
      <c s="5" r="E76"/>
      <c s="5" r="F76"/>
      <c s="5" r="G76"/>
      <c s="5" r="H76"/>
      <c s="5" r="I76"/>
      <c s="113" r="J76"/>
      <c s="5" r="K76"/>
      <c s="5" r="L76"/>
      <c s="113" r="M76"/>
    </row>
  </sheetData>
  <mergeCells count="22">
    <mergeCell ref="A45:A52"/>
    <mergeCell ref="A53:A60"/>
    <mergeCell ref="E19:E24"/>
    <mergeCell ref="E25:E30"/>
    <mergeCell ref="E35:F35"/>
    <mergeCell ref="A25:A30"/>
    <mergeCell ref="A19:A24"/>
    <mergeCell ref="A35:B35"/>
    <mergeCell ref="E45:E52"/>
    <mergeCell ref="E53:E60"/>
    <mergeCell ref="A33:B33"/>
    <mergeCell ref="A32:B32"/>
    <mergeCell ref="E7:F7"/>
    <mergeCell ref="A7:B7"/>
    <mergeCell ref="I1:J1"/>
    <mergeCell ref="L1:M1"/>
    <mergeCell ref="E5:G5"/>
    <mergeCell ref="E3:G3"/>
    <mergeCell ref="E11:F11"/>
    <mergeCell ref="E1:G1"/>
    <mergeCell ref="A1:C1"/>
    <mergeCell ref="A11:B11"/>
  </mergeCells>
  <drawing r:id="rId1"/>
</worksheet>
</file>