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0" yWindow="165" windowWidth="20730" windowHeight="11760" activeTab="2"/>
  </bookViews>
  <sheets>
    <sheet name="BORDEAUX 2014" sheetId="1" r:id="rId1"/>
    <sheet name="POP BDX 2010" sheetId="2" r:id="rId2"/>
    <sheet name="RESSEMBLANCE" sheetId="3" r:id="rId3"/>
  </sheets>
  <definedNames>
    <definedName name="_xlnm._FilterDatabase" localSheetId="0" hidden="1">'BORDEAUX 2014'!$G$1:$G$62</definedName>
  </definedNames>
  <calcPr calcId="125725"/>
</workbook>
</file>

<file path=xl/calcChain.xml><?xml version="1.0" encoding="utf-8"?>
<calcChain xmlns="http://schemas.openxmlformats.org/spreadsheetml/2006/main">
  <c r="M8" i="3"/>
  <c r="M16"/>
  <c r="M26"/>
  <c r="M29"/>
  <c r="M19"/>
  <c r="M42"/>
  <c r="M39"/>
  <c r="M56"/>
  <c r="M57"/>
  <c r="M59"/>
  <c r="M48"/>
  <c r="J54"/>
  <c r="J55"/>
  <c r="J38"/>
  <c r="J21"/>
  <c r="J27"/>
  <c r="J28"/>
  <c r="J14"/>
  <c r="J15"/>
  <c r="J9"/>
  <c r="M49"/>
  <c r="J47"/>
  <c r="M40"/>
  <c r="J37"/>
  <c r="M12"/>
  <c r="G92" i="1"/>
  <c r="B17" i="3"/>
  <c r="B16"/>
  <c r="B9" i="2"/>
  <c r="F41" s="1"/>
  <c r="L102" i="1"/>
  <c r="L101"/>
  <c r="L100"/>
  <c r="L99"/>
  <c r="L98"/>
  <c r="L97"/>
  <c r="L96"/>
  <c r="L95"/>
  <c r="L94"/>
  <c r="L93"/>
  <c r="L92"/>
  <c r="L91"/>
  <c r="L90"/>
  <c r="L89"/>
  <c r="L88"/>
  <c r="L87"/>
  <c r="F28" i="2" l="1"/>
  <c r="F32"/>
  <c r="F36"/>
  <c r="F40"/>
  <c r="F26"/>
  <c r="F30"/>
  <c r="F34"/>
  <c r="F38"/>
  <c r="F27"/>
  <c r="F29"/>
  <c r="F31"/>
  <c r="F33"/>
  <c r="F35"/>
  <c r="F37"/>
  <c r="F39"/>
  <c r="B26"/>
  <c r="B33"/>
  <c r="B32"/>
  <c r="B31"/>
  <c r="B30"/>
  <c r="B29"/>
  <c r="B28"/>
  <c r="B27"/>
  <c r="B10"/>
  <c r="F18" s="1"/>
  <c r="F21" l="1"/>
  <c r="F22"/>
  <c r="F19"/>
  <c r="F15"/>
  <c r="B20" s="1"/>
  <c r="F17"/>
  <c r="F13"/>
  <c r="B18" s="1"/>
  <c r="F20"/>
  <c r="F23"/>
  <c r="B22" s="1"/>
  <c r="F24"/>
  <c r="B23" s="1"/>
  <c r="F14"/>
  <c r="B19" s="1"/>
  <c r="F16"/>
  <c r="B14"/>
  <c r="B15"/>
  <c r="G65" i="1"/>
  <c r="L77"/>
  <c r="L68"/>
  <c r="L67"/>
  <c r="L84"/>
  <c r="L83"/>
  <c r="L82"/>
  <c r="L81"/>
  <c r="L80"/>
  <c r="L79"/>
  <c r="L78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I13"/>
  <c r="I12"/>
  <c r="I11"/>
  <c r="I10"/>
  <c r="I9"/>
  <c r="I8"/>
  <c r="I7"/>
  <c r="I6"/>
  <c r="I5"/>
  <c r="I4"/>
  <c r="I3"/>
  <c r="G91" s="1"/>
  <c r="I2"/>
  <c r="G66"/>
  <c r="B21" i="2" l="1"/>
  <c r="G84" i="1"/>
  <c r="G78"/>
  <c r="I69"/>
  <c r="I70" s="1"/>
  <c r="I71" s="1"/>
  <c r="I72" s="1"/>
  <c r="I73" s="1"/>
  <c r="G89"/>
  <c r="G85"/>
  <c r="G83"/>
  <c r="G79"/>
  <c r="I74"/>
  <c r="G86" l="1"/>
  <c r="G87" s="1"/>
  <c r="G88" s="1"/>
  <c r="G80"/>
  <c r="G81" s="1"/>
  <c r="G82" s="1"/>
</calcChain>
</file>

<file path=xl/sharedStrings.xml><?xml version="1.0" encoding="utf-8"?>
<sst xmlns="http://schemas.openxmlformats.org/spreadsheetml/2006/main" count="820" uniqueCount="399">
  <si>
    <t>Bordeaux</t>
  </si>
  <si>
    <t>ACCOCEBERRY</t>
  </si>
  <si>
    <t>AJON</t>
  </si>
  <si>
    <t>AOUIZERATE</t>
  </si>
  <si>
    <t>Maribel</t>
  </si>
  <si>
    <t>BOUILHET</t>
  </si>
  <si>
    <t>CAZABONNE</t>
  </si>
  <si>
    <t>DEL REY</t>
  </si>
  <si>
    <t>DELAUX</t>
  </si>
  <si>
    <t>DESSERTINE</t>
  </si>
  <si>
    <t>DU PARC</t>
  </si>
  <si>
    <t>FELTESSE</t>
  </si>
  <si>
    <t>FETOUH</t>
  </si>
  <si>
    <t>Marik</t>
  </si>
  <si>
    <t>FLORIAN</t>
  </si>
  <si>
    <t>FORZY-RAFFARD</t>
  </si>
  <si>
    <t>FRAILE MARTIN</t>
  </si>
  <si>
    <t>FRONZES</t>
  </si>
  <si>
    <t>GAUTE</t>
  </si>
  <si>
    <t>GENTILLEAU</t>
  </si>
  <si>
    <t>GUENRO</t>
  </si>
  <si>
    <t>GUYOMARC'H</t>
  </si>
  <si>
    <t>HURMIC</t>
  </si>
  <si>
    <t>JARTY-ROY</t>
  </si>
  <si>
    <t>JUPPÉ</t>
  </si>
  <si>
    <t>KUZIEW</t>
  </si>
  <si>
    <t>LIRE</t>
  </si>
  <si>
    <t>LOTHAIRE</t>
  </si>
  <si>
    <t>LOUIMI</t>
  </si>
  <si>
    <t>Yassine</t>
  </si>
  <si>
    <t>MOLLAT</t>
  </si>
  <si>
    <t>NJIKAM MOULIOM</t>
  </si>
  <si>
    <t>Pierre De Gaétan</t>
  </si>
  <si>
    <t>REIFFERS</t>
  </si>
  <si>
    <t>Josy</t>
  </si>
  <si>
    <t>SIARRI</t>
  </si>
  <si>
    <t>Ana-Maria</t>
  </si>
  <si>
    <t>TOUTON</t>
  </si>
  <si>
    <t>VILLANOVE</t>
  </si>
  <si>
    <t>WALRYCK</t>
  </si>
  <si>
    <t>DUPOUY</t>
  </si>
  <si>
    <t>BREZILLON</t>
  </si>
  <si>
    <t>CAZALET</t>
  </si>
  <si>
    <t>Solène</t>
  </si>
  <si>
    <t>COLOMBIER</t>
  </si>
  <si>
    <t>BRUGERE</t>
  </si>
  <si>
    <t>RENOU</t>
  </si>
  <si>
    <t>Erick</t>
  </si>
  <si>
    <t>CALMELS</t>
  </si>
  <si>
    <t>SOLARI</t>
  </si>
  <si>
    <t>Constance</t>
  </si>
  <si>
    <t>JAMET</t>
  </si>
  <si>
    <t>Mariette</t>
  </si>
  <si>
    <t>TORRES</t>
  </si>
  <si>
    <t>MIGLIORE</t>
  </si>
  <si>
    <t>LAFOSSE</t>
  </si>
  <si>
    <t>CHAZAL</t>
  </si>
  <si>
    <t>Yohan</t>
  </si>
  <si>
    <t>ROUVEYRE</t>
  </si>
  <si>
    <t>DUCHENE</t>
  </si>
  <si>
    <t>LABORDE</t>
  </si>
  <si>
    <t>SILVESTRE</t>
  </si>
  <si>
    <t>Magali</t>
  </si>
  <si>
    <t>DAVID</t>
  </si>
  <si>
    <t>PIAZZA</t>
  </si>
  <si>
    <t>Stéphan</t>
  </si>
  <si>
    <t>DELATTRE</t>
  </si>
  <si>
    <t>DELAUNAY</t>
  </si>
  <si>
    <t>MARTIN</t>
  </si>
  <si>
    <t>Retraité des professions libérales</t>
  </si>
  <si>
    <t>Jérôme</t>
  </si>
  <si>
    <t>Professeur de faculté</t>
  </si>
  <si>
    <t>Enseignant 1er deg.-directeur école</t>
  </si>
  <si>
    <t>Emilie</t>
  </si>
  <si>
    <t>Journaliste et autre média</t>
  </si>
  <si>
    <t>Commercant</t>
  </si>
  <si>
    <t>Elizabeth</t>
  </si>
  <si>
    <t>Didier</t>
  </si>
  <si>
    <t>Nicolas</t>
  </si>
  <si>
    <t>Jean-Michel</t>
  </si>
  <si>
    <t>Virginie</t>
  </si>
  <si>
    <t>Florence</t>
  </si>
  <si>
    <t>Nathalie</t>
  </si>
  <si>
    <t>Benoit</t>
  </si>
  <si>
    <t>Marie-Françoise</t>
  </si>
  <si>
    <t>Notaire</t>
  </si>
  <si>
    <t>Marie-Hélène</t>
  </si>
  <si>
    <t>Joël</t>
  </si>
  <si>
    <t>Avocat</t>
  </si>
  <si>
    <t>Fabien</t>
  </si>
  <si>
    <t>Delphine</t>
  </si>
  <si>
    <t>Estelle</t>
  </si>
  <si>
    <t>Marc</t>
  </si>
  <si>
    <t>BERNARD</t>
  </si>
  <si>
    <t>Cécile</t>
  </si>
  <si>
    <t>Pharmacien</t>
  </si>
  <si>
    <t>Emmanuelle</t>
  </si>
  <si>
    <t>Anne-Marie</t>
  </si>
  <si>
    <t>P</t>
  </si>
  <si>
    <t>Jean-Louis</t>
  </si>
  <si>
    <t>Laetitia</t>
  </si>
  <si>
    <t>Arielle</t>
  </si>
  <si>
    <t>Matthieu</t>
  </si>
  <si>
    <t>CUNY</t>
  </si>
  <si>
    <t>ROBERT</t>
  </si>
  <si>
    <t>Alexandra</t>
  </si>
  <si>
    <t>Anne</t>
  </si>
  <si>
    <t>SIRI</t>
  </si>
  <si>
    <t>Administrateur de sociétés</t>
  </si>
  <si>
    <t>Marie-José</t>
  </si>
  <si>
    <t>Conseiller juridique</t>
  </si>
  <si>
    <t>Edouard</t>
  </si>
  <si>
    <t>DPT</t>
  </si>
  <si>
    <t>CODCOM</t>
  </si>
  <si>
    <t>COMMUNE</t>
  </si>
  <si>
    <t>NOM</t>
  </si>
  <si>
    <t>PRENOM</t>
  </si>
  <si>
    <t>SEXE</t>
  </si>
  <si>
    <t>NAISS</t>
  </si>
  <si>
    <t>NAT</t>
  </si>
  <si>
    <t>F</t>
  </si>
  <si>
    <t>Médecin</t>
  </si>
  <si>
    <t>Retraité fonct.publique (sf enseig.)</t>
  </si>
  <si>
    <t>Jean-Pierre</t>
  </si>
  <si>
    <t>M</t>
  </si>
  <si>
    <t>Profession rattachée à l'enseignt.</t>
  </si>
  <si>
    <t>Laurence</t>
  </si>
  <si>
    <t>Autre cadre (secteur privé)</t>
  </si>
  <si>
    <t>Sandrine</t>
  </si>
  <si>
    <t>Industriel-Chef entreprise</t>
  </si>
  <si>
    <t>Michel</t>
  </si>
  <si>
    <t>Autre profession libérale</t>
  </si>
  <si>
    <t>Philippe</t>
  </si>
  <si>
    <t>Sans profession déclarée</t>
  </si>
  <si>
    <t>Architecte</t>
  </si>
  <si>
    <t>Fonctionnaire de catégorie A</t>
  </si>
  <si>
    <t>Cadre supérieur (secteur privé)</t>
  </si>
  <si>
    <t>Fonctionnaire de catégorie B</t>
  </si>
  <si>
    <t>Professeur du secondaire et techn.</t>
  </si>
  <si>
    <t>Catherine</t>
  </si>
  <si>
    <t>Jacques</t>
  </si>
  <si>
    <t>Ingénieur</t>
  </si>
  <si>
    <t>Employé (autres entrep. publiques)</t>
  </si>
  <si>
    <t>Alain</t>
  </si>
  <si>
    <t>Pierre</t>
  </si>
  <si>
    <t>Brigitte</t>
  </si>
  <si>
    <t>Fonctionnaire de catégorie C</t>
  </si>
  <si>
    <t>Vincent</t>
  </si>
  <si>
    <t>Agriculteur-propriétaire exploit.</t>
  </si>
  <si>
    <t>Michèle</t>
  </si>
  <si>
    <t>Guy</t>
  </si>
  <si>
    <t>Autre profession</t>
  </si>
  <si>
    <t>COLLET</t>
  </si>
  <si>
    <t>33063</t>
  </si>
  <si>
    <t>Chiffres clés    -     Évolution et structure de la population</t>
  </si>
  <si>
    <r>
      <t>France - Communes</t>
    </r>
    <r>
      <rPr>
        <sz val="8"/>
        <color indexed="62"/>
        <rFont val="Arial"/>
        <family val="2"/>
      </rPr>
      <t xml:space="preserve"> (hors Mayotte) </t>
    </r>
  </si>
  <si>
    <t>Découpage géographique au 01/01/2012 (pour les données RP1999 : découpage géographique communal au 01/01/1999)</t>
  </si>
  <si>
    <t>© Insee</t>
  </si>
  <si>
    <t>Code géographique</t>
  </si>
  <si>
    <t>Libellé géographique</t>
  </si>
  <si>
    <t>Population en 2010 (princ)</t>
  </si>
  <si>
    <t>Pop 0-14 ans en 2010 (princ)</t>
  </si>
  <si>
    <t>Pop 15-29 ans en 2010 (princ)</t>
  </si>
  <si>
    <t>Pop 30-44 ans en 2010 (princ)</t>
  </si>
  <si>
    <t>Pop 45-59 ans en 2010 (princ)</t>
  </si>
  <si>
    <t>Pop 60-74 ans en 2010 (princ)</t>
  </si>
  <si>
    <t>Pop 75 ans ou plus en 2010 (princ)</t>
  </si>
  <si>
    <t>Pop Hommes en 2010 (princ)</t>
  </si>
  <si>
    <t>Pop Hommes 0-14 ans en 2010 (princ)</t>
  </si>
  <si>
    <t>Pop Hommes 15-29 ans en 2010 (princ)</t>
  </si>
  <si>
    <t>Pop Hommes 30-44 ans en 2010 (princ)</t>
  </si>
  <si>
    <t>Pop Hommes 45-59 ans en 2010 (princ)</t>
  </si>
  <si>
    <t>Pop Hommes 60-74 ans en 2010 (princ)</t>
  </si>
  <si>
    <t>Pop Hommes 75-89 ans en 2010 (princ)</t>
  </si>
  <si>
    <t>Pop Hommes 90 ans ou plus en 2010 (princ)</t>
  </si>
  <si>
    <t>Pop Hommes 0-19 ans en 2010 (princ)</t>
  </si>
  <si>
    <t>Pop Hommes 20-64 ans en 2010 (princ)</t>
  </si>
  <si>
    <t>Pop Hommes 65 ans ou plus en 2010 (princ)</t>
  </si>
  <si>
    <t>Pop Femmes en 2010 (princ)</t>
  </si>
  <si>
    <t>Pop Femmes 0-14 ans en 2010 (princ)</t>
  </si>
  <si>
    <t>Pop Femmes 15-29 ans en 2010 (princ)</t>
  </si>
  <si>
    <t>Pop Femmes 30-44 ans en 2010 (princ)</t>
  </si>
  <si>
    <t>Pop Femmes 45-59 ans en 2010 (princ)</t>
  </si>
  <si>
    <t>Pop Femmes 60-74 ans en 2010 (princ)</t>
  </si>
  <si>
    <t>Pop Femmes 75-89 ans en 2010 (princ)</t>
  </si>
  <si>
    <t>Pop Femmes 90 ans ou plus en 2010 (princ)</t>
  </si>
  <si>
    <t>Pop Femmes 0-19 ans en 2010 (princ)</t>
  </si>
  <si>
    <t>Pop Femmes 20-64 ans en 2010 (princ)</t>
  </si>
  <si>
    <t>Pop Femmes 65 ans ou plus en 2010 (princ)</t>
  </si>
  <si>
    <t>Pop 15 ans ou plus en 2010 (compl)</t>
  </si>
  <si>
    <t>Pop 15 ans ou plus Agriculteurs exploitants en 2010 (compl)</t>
  </si>
  <si>
    <t>Pop 15 ans ou plus Artisans, Comm., Chefs entr. en 2010 (compl)</t>
  </si>
  <si>
    <t>Pop 15 ans ou plus Cadres, Prof. intel. sup. en 2010 (compl)</t>
  </si>
  <si>
    <t>Pop 15 ans ou plus Prof. intermédiaires  en 2010 (compl)</t>
  </si>
  <si>
    <t>Pop 15 ans ou plus Employés en 2010 (compl)</t>
  </si>
  <si>
    <t>Pop 15 ans ou plus Ouvriers en 2010 (compl)</t>
  </si>
  <si>
    <t>Pop 15 ans ou plus Retraités  en 2010 (compl)</t>
  </si>
  <si>
    <t>Pop 15 ans ou plus Autres en 2010 (compl)</t>
  </si>
  <si>
    <t>Pop 15 ans ou plus Hommes en 2010 (compl)</t>
  </si>
  <si>
    <t>Pop 15 ans ou plus Hommes Agriculteurs exploitants en 2010 (compl)</t>
  </si>
  <si>
    <t>Pop 15 ans ou plus Hommes Artisans, Comm., Chefs entr. en 2010 (compl)</t>
  </si>
  <si>
    <t>Pop 15 ans ou plus Hommes Cadres, Prof. intel. sup. en 2010 (compl)</t>
  </si>
  <si>
    <t>Pop 15 ans ou plus Hommes Prof. intermédiaires en 2010 (compl)</t>
  </si>
  <si>
    <t>Pop 15 ans ou plus Hommes Employés en 2010 (compl)</t>
  </si>
  <si>
    <t>Pop 15 ans ou plus Hommes Ouvriers en 2010 (compl)</t>
  </si>
  <si>
    <t>Pop 15 ans ou plus Hommes Retraités en 2010 (compl)</t>
  </si>
  <si>
    <t>Pop 15 ans ou plus Hommes Autres en 2010 (compl)</t>
  </si>
  <si>
    <t>Pop 15 ans ou plus Femmes en 2010 (compl)</t>
  </si>
  <si>
    <t>Pop 15 ans ou plus Femmes Agriculteurs exploitants en 2010 (compl)</t>
  </si>
  <si>
    <t>Pop 15 ans ou plus Femmes Artisans, Comm., Chefs entr. en 2010 (compl)</t>
  </si>
  <si>
    <t>Pop 15 ans ou plus Femmes Cadres, Prof. intel. sup. en 2010 (compl)</t>
  </si>
  <si>
    <t>Pop 15 ans ou plus Femmes Prof. intermédiaires en 2010 (compl)</t>
  </si>
  <si>
    <t>Pop 15 ans ou plus Femmes Employés en 2010 (compl)</t>
  </si>
  <si>
    <t>Pop 15 ans ou plus Femmes Ouvriers en 2010 (compl)</t>
  </si>
  <si>
    <t>Pop 15 ans ou plus Femmes Retraités en 2010 (compl)</t>
  </si>
  <si>
    <t>Pop 15 ans ou plus Femmes Autres en 2010 (compl)</t>
  </si>
  <si>
    <t>Pop 15-24 ans en 2010 (compl)</t>
  </si>
  <si>
    <t>Pop 15-24 ans Agriculteurs exploitants en 2010 (compl)</t>
  </si>
  <si>
    <t>Pop 15-24 ans Artisans, Comm., Chefs entr. en 2010 (compl)</t>
  </si>
  <si>
    <t>Pop 15-24 ans Cadres, Prof. intel. sup. en 2010 (compl)</t>
  </si>
  <si>
    <t>Pop 15-24 ans Prof. intermédiaires en 2010 (compl)</t>
  </si>
  <si>
    <t>Pop 15-24 ans Employés en 2010 (compl)</t>
  </si>
  <si>
    <t>Pop 15-24 ans Ouvriers en 2010 (compl)</t>
  </si>
  <si>
    <t>Pop 15-24 ans Retraités en 2010 (compl)</t>
  </si>
  <si>
    <t>Pop 15-24 ans Autres en 2010 (compl)</t>
  </si>
  <si>
    <t>Pop 25-54 ans en 2010 (compl)</t>
  </si>
  <si>
    <t>Pop 25-54 ans Agriculteurs exploitants en 2010 (compl)</t>
  </si>
  <si>
    <t>Pop 25-54 ans Artisans, Comm., Chefs entr. en 2010 (compl)</t>
  </si>
  <si>
    <t>Pop 25-54 ans Cadres, Prof. intel. sup. en 2010 (compl)</t>
  </si>
  <si>
    <t>Pop 25-54 ans Prof. intermédiaires en 2010 (compl)</t>
  </si>
  <si>
    <t>Pop 25-54 ans Employés en 2010 (compl)</t>
  </si>
  <si>
    <t>Pop 25-54 ans Ouvriers en 2010 (compl)</t>
  </si>
  <si>
    <t>Pop 25-54 ans Retraités en 2010 (compl)</t>
  </si>
  <si>
    <t>Pop 25-54 ans Autres en 2010 (compl)</t>
  </si>
  <si>
    <t>Pop 55 ans ou plus en 2010 (compl)</t>
  </si>
  <si>
    <t>Pop 55 ans ou plus Agriculteurs exploitants en 2010 (compl)</t>
  </si>
  <si>
    <t>Pop 55 ans ou plus Artisans, Comm., Chefs entr. en 2010 (compl)</t>
  </si>
  <si>
    <t>Pop 55 ans ou plus Cadres, Prof. intel. sup. en 2010 (compl)</t>
  </si>
  <si>
    <t>Pop 55 ans ou plus Prof. intermédiaires en 2010 (compl)</t>
  </si>
  <si>
    <t>Pop 55 ans ou plus Employés en 2010 (compl)</t>
  </si>
  <si>
    <t>Pop 55 ans ou plus Ouvriers en 2010 (compl)</t>
  </si>
  <si>
    <t>Pop 55 ans ou plus Retraités en 2010 (compl)</t>
  </si>
  <si>
    <t>Pop 55 ans ou plus Autres en 2010 (compl)</t>
  </si>
  <si>
    <t>CODGEO</t>
  </si>
  <si>
    <t>LIBGEO</t>
  </si>
  <si>
    <t>P10_POP</t>
  </si>
  <si>
    <t>P10_POP0014</t>
  </si>
  <si>
    <t>P10_POP1529</t>
  </si>
  <si>
    <t>P10_POP3044</t>
  </si>
  <si>
    <t>P10_POP4559</t>
  </si>
  <si>
    <t>P10_POP6074</t>
  </si>
  <si>
    <t>P10_POP75P</t>
  </si>
  <si>
    <t>P10_POPH</t>
  </si>
  <si>
    <t>P10_H0014</t>
  </si>
  <si>
    <t>P10_H1529</t>
  </si>
  <si>
    <t>P10_H3044</t>
  </si>
  <si>
    <t>P10_H4559</t>
  </si>
  <si>
    <t>P10_H6074</t>
  </si>
  <si>
    <t>P10_H7589</t>
  </si>
  <si>
    <t>P10_H90P</t>
  </si>
  <si>
    <t>P10_H0019</t>
  </si>
  <si>
    <t>P10_H2064</t>
  </si>
  <si>
    <t>P10_H65P</t>
  </si>
  <si>
    <t>P10_POPF</t>
  </si>
  <si>
    <t>P10_F0014</t>
  </si>
  <si>
    <t>P10_F1529</t>
  </si>
  <si>
    <t>P10_F3044</t>
  </si>
  <si>
    <t>P10_F4559</t>
  </si>
  <si>
    <t>P10_F6074</t>
  </si>
  <si>
    <t>P10_F7589</t>
  </si>
  <si>
    <t>P10_F90P</t>
  </si>
  <si>
    <t>P10_F0019</t>
  </si>
  <si>
    <t>P10_F2064</t>
  </si>
  <si>
    <t>P10_F65P</t>
  </si>
  <si>
    <t>C10_POP15P</t>
  </si>
  <si>
    <t>C10_POP15P_CS1</t>
  </si>
  <si>
    <t>C10_POP15P_CS2</t>
  </si>
  <si>
    <t>C10_POP15P_CS3</t>
  </si>
  <si>
    <t>C10_POP15P_CS4</t>
  </si>
  <si>
    <t>C10_POP15P_CS5</t>
  </si>
  <si>
    <t>C10_POP15P_CS6</t>
  </si>
  <si>
    <t>C10_POP15P_CS7</t>
  </si>
  <si>
    <t>C10_POP15P_CS8</t>
  </si>
  <si>
    <t>C10_H15P</t>
  </si>
  <si>
    <t>C10_H15P_CS1</t>
  </si>
  <si>
    <t>C10_H15P_CS2</t>
  </si>
  <si>
    <t>C10_H15P_CS3</t>
  </si>
  <si>
    <t>C10_H15P_CS4</t>
  </si>
  <si>
    <t>C10_H15P_CS5</t>
  </si>
  <si>
    <t>C10_H15P_CS6</t>
  </si>
  <si>
    <t>C10_H15P_CS7</t>
  </si>
  <si>
    <t>C10_H15P_CS8</t>
  </si>
  <si>
    <t>C10_F15P</t>
  </si>
  <si>
    <t>C10_F15P_CS1</t>
  </si>
  <si>
    <t>C10_F15P_CS2</t>
  </si>
  <si>
    <t>C10_F15P_CS3</t>
  </si>
  <si>
    <t>C10_F15P_CS4</t>
  </si>
  <si>
    <t>C10_F15P_CS5</t>
  </si>
  <si>
    <t>C10_F15P_CS6</t>
  </si>
  <si>
    <t>C10_F15P_CS7</t>
  </si>
  <si>
    <t>C10_F15P_CS8</t>
  </si>
  <si>
    <t>C10_POP1524</t>
  </si>
  <si>
    <t>C10_POP1524_CS1</t>
  </si>
  <si>
    <t>C10_POP1524_CS2</t>
  </si>
  <si>
    <t>C10_POP1524_CS3</t>
  </si>
  <si>
    <t>C10_POP1524_CS4</t>
  </si>
  <si>
    <t>C10_POP1524_CS5</t>
  </si>
  <si>
    <t>C10_POP1524_CS6</t>
  </si>
  <si>
    <t>C10_POP1524_CS7</t>
  </si>
  <si>
    <t>C10_POP1524_CS8</t>
  </si>
  <si>
    <t>C10_POP2554</t>
  </si>
  <si>
    <t>C10_POP2554_CS1</t>
  </si>
  <si>
    <t>C10_POP2554_CS2</t>
  </si>
  <si>
    <t>C10_POP2554_CS3</t>
  </si>
  <si>
    <t>C10_POP2554_CS4</t>
  </si>
  <si>
    <t>C10_POP2554_CS5</t>
  </si>
  <si>
    <t>C10_POP2554_CS6</t>
  </si>
  <si>
    <t>C10_POP2554_CS7</t>
  </si>
  <si>
    <t>C10_POP2554_CS8</t>
  </si>
  <si>
    <t>C10_POP55P</t>
  </si>
  <si>
    <t>C10_POP55P_CS1</t>
  </si>
  <si>
    <t>C10_POP55P_CS2</t>
  </si>
  <si>
    <t>C10_POP55P_CS3</t>
  </si>
  <si>
    <t>C10_POP55P_CS4</t>
  </si>
  <si>
    <t>C10_POP55P_CS5</t>
  </si>
  <si>
    <t>C10_POP55P_CS6</t>
  </si>
  <si>
    <t>C10_POP55P_CS7</t>
  </si>
  <si>
    <t>C10_POP55P_CS8</t>
  </si>
  <si>
    <t>FEMMES</t>
  </si>
  <si>
    <t>HOMMES</t>
  </si>
  <si>
    <t>AGE</t>
  </si>
  <si>
    <t>DE 20 A 29 ANS</t>
  </si>
  <si>
    <t>DE 30 A 44 ANS</t>
  </si>
  <si>
    <t>DE 45 A 59 ANS</t>
  </si>
  <si>
    <t>DE 60 A 74 ANS</t>
  </si>
  <si>
    <t>DE 75 A 89 ANS</t>
  </si>
  <si>
    <t>DE + 90 ANS</t>
  </si>
  <si>
    <t>PCS</t>
  </si>
  <si>
    <t>Agriculteurs exploitants</t>
  </si>
  <si>
    <t>Artisans, commerçants et chefs d'entreprise</t>
  </si>
  <si>
    <t>Cadres et professions intellectuelles supérieures</t>
  </si>
  <si>
    <t>Professions intermédiaires</t>
  </si>
  <si>
    <t>Employés</t>
  </si>
  <si>
    <t>Ouvriers</t>
  </si>
  <si>
    <t>Retraités</t>
  </si>
  <si>
    <t>Autres</t>
  </si>
  <si>
    <t>NATIONALITE</t>
  </si>
  <si>
    <t>Française</t>
  </si>
  <si>
    <t>Portugaise</t>
  </si>
  <si>
    <t>INDIV</t>
  </si>
  <si>
    <t>CODE CSP</t>
  </si>
  <si>
    <t>Code PCS</t>
  </si>
  <si>
    <t>LIB CSP</t>
  </si>
  <si>
    <t>POUR 61 ELUS</t>
  </si>
  <si>
    <t>Pop + de 20 ans :</t>
  </si>
  <si>
    <t>CONSEIL MUNICIPAL 2014</t>
  </si>
  <si>
    <t>Moyenne d'âge des femmes :</t>
  </si>
  <si>
    <t>Moyenne d'âge des hommes :</t>
  </si>
  <si>
    <t>Femmes</t>
  </si>
  <si>
    <t>Hommes</t>
  </si>
  <si>
    <t>Pop + de 15 ans :</t>
  </si>
  <si>
    <t>CONSEIL MUNICIPAL FICTIF REPRESENTATIF DE LA POPULATION DE BORDEAUX EN 2010</t>
  </si>
  <si>
    <t>CATEGORIES SUR REPRENSENTEES</t>
  </si>
  <si>
    <t>CATEGORIES SOUS REPRESENTEES</t>
  </si>
  <si>
    <t>ECHANTILLON : + DE 20 ANS, sauf pour PCS : + DE 15 ANS</t>
  </si>
  <si>
    <t>Artisans, commerçants et chefs d'entreprise :</t>
  </si>
  <si>
    <t>Cadres et professions intellectuelles supérieures :</t>
  </si>
  <si>
    <t>Employés :</t>
  </si>
  <si>
    <t>Ouvriers :</t>
  </si>
  <si>
    <t>abs</t>
  </si>
  <si>
    <t xml:space="preserve">Femmes CPIS : </t>
  </si>
  <si>
    <t>Femmes employées :</t>
  </si>
  <si>
    <t xml:space="preserve">Hommes ACCE : </t>
  </si>
  <si>
    <t>Moins de 30 ans :</t>
  </si>
  <si>
    <t>Hommes - 30 ans :</t>
  </si>
  <si>
    <t>Femmes :</t>
  </si>
  <si>
    <t>Hommes :</t>
  </si>
  <si>
    <t>45-59 ans :</t>
  </si>
  <si>
    <t>60-74 ans :</t>
  </si>
  <si>
    <t>75-89 ans</t>
  </si>
  <si>
    <t>Plus de 90 ans :</t>
  </si>
  <si>
    <t>Femmes - de 30 ans :</t>
  </si>
  <si>
    <t>Femmes 45-59 ans :</t>
  </si>
  <si>
    <t>Femmes 75-89 ans :</t>
  </si>
  <si>
    <t>Femmes + 90 ans :</t>
  </si>
  <si>
    <t>Hommes 30-44 ans :</t>
  </si>
  <si>
    <t>Hommes 45-59 ans :</t>
  </si>
  <si>
    <t>Hommes 60-74 ans :</t>
  </si>
  <si>
    <t>Hommes 75-89 ans :</t>
  </si>
  <si>
    <t>Agriculteurs</t>
  </si>
  <si>
    <t>Femmes PI :</t>
  </si>
  <si>
    <t>Femmes ouvrières :</t>
  </si>
  <si>
    <t>Femmes retraitées :</t>
  </si>
  <si>
    <t>Hommes agriculteurs :</t>
  </si>
  <si>
    <t>Hommes CPIS :</t>
  </si>
  <si>
    <t>Hommes PI :</t>
  </si>
  <si>
    <t>Hommes employés :</t>
  </si>
  <si>
    <t>Hommes ouvriers :</t>
  </si>
  <si>
    <t>Hommes retraités :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</si>
</sst>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1"/>
      <color indexed="16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sz val="8"/>
      <color indexed="62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Border="1"/>
    <xf numFmtId="49" fontId="3" fillId="0" borderId="0" xfId="0" applyNumberFormat="1" applyFont="1"/>
    <xf numFmtId="1" fontId="3" fillId="0" borderId="0" xfId="0" applyNumberFormat="1" applyFont="1"/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0" fillId="4" borderId="1" xfId="0" applyFill="1" applyBorder="1"/>
    <xf numFmtId="0" fontId="10" fillId="5" borderId="1" xfId="0" applyFont="1" applyFill="1" applyBorder="1"/>
    <xf numFmtId="0" fontId="0" fillId="5" borderId="1" xfId="0" applyFill="1" applyBorder="1"/>
    <xf numFmtId="0" fontId="10" fillId="6" borderId="1" xfId="0" applyFont="1" applyFill="1" applyBorder="1"/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horizontal="center"/>
    </xf>
    <xf numFmtId="0" fontId="10" fillId="6" borderId="2" xfId="0" applyFont="1" applyFill="1" applyBorder="1" applyAlignment="1"/>
    <xf numFmtId="0" fontId="10" fillId="6" borderId="3" xfId="0" applyFont="1" applyFill="1" applyBorder="1" applyAlignment="1"/>
    <xf numFmtId="0" fontId="0" fillId="0" borderId="0" xfId="0" applyAlignment="1">
      <alignment horizontal="center"/>
    </xf>
    <xf numFmtId="0" fontId="0" fillId="7" borderId="1" xfId="0" applyFill="1" applyBorder="1"/>
    <xf numFmtId="2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" fontId="0" fillId="0" borderId="0" xfId="0" applyNumberFormat="1"/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0" fillId="0" borderId="0" xfId="0" applyFont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Alignment="1">
      <alignment horizontal="center" wrapText="1"/>
    </xf>
    <xf numFmtId="0" fontId="10" fillId="5" borderId="6" xfId="0" applyFont="1" applyFill="1" applyBorder="1" applyAlignment="1">
      <alignment vertical="center"/>
    </xf>
    <xf numFmtId="1" fontId="0" fillId="5" borderId="6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1" fontId="10" fillId="5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10" fillId="0" borderId="5" xfId="0" applyFont="1" applyBorder="1"/>
    <xf numFmtId="0" fontId="10" fillId="0" borderId="5" xfId="0" applyFont="1" applyBorder="1" applyAlignment="1">
      <alignment wrapText="1"/>
    </xf>
    <xf numFmtId="2" fontId="0" fillId="0" borderId="9" xfId="0" applyNumberFormat="1" applyBorder="1"/>
    <xf numFmtId="0" fontId="0" fillId="0" borderId="10" xfId="0" applyBorder="1"/>
    <xf numFmtId="2" fontId="0" fillId="0" borderId="11" xfId="0" applyNumberFormat="1" applyBorder="1"/>
    <xf numFmtId="0" fontId="10" fillId="6" borderId="6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topLeftCell="C59" workbookViewId="0">
      <selection activeCell="L82" sqref="L82"/>
    </sheetView>
  </sheetViews>
  <sheetFormatPr baseColWidth="10" defaultRowHeight="12.75"/>
  <cols>
    <col min="1" max="1" width="4.7109375" bestFit="1" customWidth="1"/>
    <col min="2" max="2" width="9.28515625" bestFit="1" customWidth="1"/>
    <col min="3" max="3" width="10.5703125" bestFit="1" customWidth="1"/>
    <col min="4" max="4" width="6.140625" bestFit="1" customWidth="1"/>
    <col min="5" max="5" width="17.140625" bestFit="1" customWidth="1"/>
    <col min="6" max="6" width="15.28515625" bestFit="1" customWidth="1"/>
    <col min="7" max="7" width="15" bestFit="1" customWidth="1"/>
    <col min="8" max="8" width="10.140625" bestFit="1" customWidth="1"/>
    <col min="9" max="9" width="10.140625" style="21" customWidth="1"/>
    <col min="10" max="11" width="30.7109375" bestFit="1" customWidth="1"/>
    <col min="12" max="12" width="25.7109375" style="19" customWidth="1"/>
    <col min="13" max="13" width="5.28515625" bestFit="1" customWidth="1"/>
  </cols>
  <sheetData>
    <row r="1" spans="1:12" s="2" customFormat="1">
      <c r="A1" s="2" t="s">
        <v>112</v>
      </c>
      <c r="B1" s="2" t="s">
        <v>113</v>
      </c>
      <c r="C1" s="2" t="s">
        <v>114</v>
      </c>
      <c r="D1" s="2" t="s">
        <v>349</v>
      </c>
      <c r="E1" s="2" t="s">
        <v>115</v>
      </c>
      <c r="F1" s="2" t="s">
        <v>116</v>
      </c>
      <c r="G1" s="2" t="s">
        <v>117</v>
      </c>
      <c r="H1" s="2" t="s">
        <v>118</v>
      </c>
      <c r="I1" s="22" t="s">
        <v>330</v>
      </c>
      <c r="J1" s="2" t="s">
        <v>352</v>
      </c>
      <c r="K1" s="2" t="s">
        <v>350</v>
      </c>
      <c r="L1" s="2" t="s">
        <v>119</v>
      </c>
    </row>
    <row r="2" spans="1:12">
      <c r="A2">
        <v>33</v>
      </c>
      <c r="B2">
        <v>63</v>
      </c>
      <c r="C2" t="s">
        <v>0</v>
      </c>
      <c r="D2">
        <v>1</v>
      </c>
      <c r="E2" t="s">
        <v>1</v>
      </c>
      <c r="F2" t="s">
        <v>150</v>
      </c>
      <c r="G2" t="s">
        <v>124</v>
      </c>
      <c r="H2" s="1">
        <v>24597</v>
      </c>
      <c r="I2" s="23">
        <f>2014-1967</f>
        <v>47</v>
      </c>
      <c r="J2" t="s">
        <v>95</v>
      </c>
      <c r="K2" s="19">
        <v>3</v>
      </c>
      <c r="L2" t="s">
        <v>120</v>
      </c>
    </row>
    <row r="3" spans="1:12">
      <c r="A3">
        <v>33</v>
      </c>
      <c r="B3">
        <v>63</v>
      </c>
      <c r="C3" t="s">
        <v>0</v>
      </c>
      <c r="D3">
        <v>1</v>
      </c>
      <c r="E3" t="s">
        <v>2</v>
      </c>
      <c r="F3" t="s">
        <v>96</v>
      </c>
      <c r="G3" t="s">
        <v>120</v>
      </c>
      <c r="H3" s="1">
        <v>26100</v>
      </c>
      <c r="I3" s="23">
        <f>2014-1971</f>
        <v>43</v>
      </c>
      <c r="J3" t="s">
        <v>127</v>
      </c>
      <c r="K3" s="19">
        <v>3</v>
      </c>
      <c r="L3" t="s">
        <v>120</v>
      </c>
    </row>
    <row r="4" spans="1:12">
      <c r="A4">
        <v>33</v>
      </c>
      <c r="B4">
        <v>63</v>
      </c>
      <c r="C4" t="s">
        <v>0</v>
      </c>
      <c r="D4">
        <v>1</v>
      </c>
      <c r="E4" t="s">
        <v>3</v>
      </c>
      <c r="F4" t="s">
        <v>47</v>
      </c>
      <c r="G4" t="s">
        <v>124</v>
      </c>
      <c r="H4" s="1">
        <v>20360</v>
      </c>
      <c r="I4" s="23">
        <f>2014-1955</f>
        <v>59</v>
      </c>
      <c r="J4" t="s">
        <v>121</v>
      </c>
      <c r="K4" s="19">
        <v>3</v>
      </c>
      <c r="L4" t="s">
        <v>120</v>
      </c>
    </row>
    <row r="5" spans="1:12">
      <c r="A5">
        <v>33</v>
      </c>
      <c r="B5">
        <v>63</v>
      </c>
      <c r="C5" t="s">
        <v>0</v>
      </c>
      <c r="D5">
        <v>1</v>
      </c>
      <c r="E5" t="s">
        <v>93</v>
      </c>
      <c r="F5" t="s">
        <v>4</v>
      </c>
      <c r="G5" t="s">
        <v>120</v>
      </c>
      <c r="H5" s="1">
        <v>24254</v>
      </c>
      <c r="I5" s="23">
        <f>2014-1966</f>
        <v>48</v>
      </c>
      <c r="J5" t="s">
        <v>133</v>
      </c>
      <c r="K5" s="19">
        <v>8</v>
      </c>
      <c r="L5" t="s">
        <v>120</v>
      </c>
    </row>
    <row r="6" spans="1:12">
      <c r="A6">
        <v>33</v>
      </c>
      <c r="B6">
        <v>63</v>
      </c>
      <c r="C6" t="s">
        <v>0</v>
      </c>
      <c r="D6">
        <v>1</v>
      </c>
      <c r="E6" t="s">
        <v>5</v>
      </c>
      <c r="F6" t="s">
        <v>139</v>
      </c>
      <c r="G6" t="s">
        <v>120</v>
      </c>
      <c r="H6" s="1">
        <v>22195</v>
      </c>
      <c r="I6" s="23">
        <f>2014-1960</f>
        <v>54</v>
      </c>
      <c r="J6" t="s">
        <v>108</v>
      </c>
      <c r="K6" s="19">
        <v>3</v>
      </c>
      <c r="L6" t="s">
        <v>120</v>
      </c>
    </row>
    <row r="7" spans="1:12">
      <c r="A7">
        <v>33</v>
      </c>
      <c r="B7">
        <v>63</v>
      </c>
      <c r="C7" t="s">
        <v>0</v>
      </c>
      <c r="D7">
        <v>1</v>
      </c>
      <c r="E7" t="s">
        <v>41</v>
      </c>
      <c r="F7" t="s">
        <v>106</v>
      </c>
      <c r="G7" t="s">
        <v>120</v>
      </c>
      <c r="H7" s="1">
        <v>21684</v>
      </c>
      <c r="I7" s="23">
        <f>2014-1959</f>
        <v>55</v>
      </c>
      <c r="J7" t="s">
        <v>133</v>
      </c>
      <c r="K7" s="19">
        <v>8</v>
      </c>
      <c r="L7" t="s">
        <v>120</v>
      </c>
    </row>
    <row r="8" spans="1:12">
      <c r="A8">
        <v>33</v>
      </c>
      <c r="B8">
        <v>63</v>
      </c>
      <c r="C8" t="s">
        <v>0</v>
      </c>
      <c r="D8">
        <v>1</v>
      </c>
      <c r="E8" t="s">
        <v>45</v>
      </c>
      <c r="F8" t="s">
        <v>78</v>
      </c>
      <c r="G8" t="s">
        <v>124</v>
      </c>
      <c r="H8" s="1">
        <v>20801</v>
      </c>
      <c r="I8" s="23">
        <f>2014-1956</f>
        <v>58</v>
      </c>
      <c r="J8" t="s">
        <v>121</v>
      </c>
      <c r="K8" s="19">
        <v>3</v>
      </c>
      <c r="L8" t="s">
        <v>120</v>
      </c>
    </row>
    <row r="9" spans="1:12">
      <c r="A9">
        <v>33</v>
      </c>
      <c r="B9">
        <v>63</v>
      </c>
      <c r="C9" t="s">
        <v>0</v>
      </c>
      <c r="D9">
        <v>1</v>
      </c>
      <c r="E9" t="s">
        <v>48</v>
      </c>
      <c r="F9" t="s">
        <v>80</v>
      </c>
      <c r="G9" t="s">
        <v>120</v>
      </c>
      <c r="H9" s="1">
        <v>25975</v>
      </c>
      <c r="I9" s="23">
        <f>2014-1971</f>
        <v>43</v>
      </c>
      <c r="J9" t="s">
        <v>129</v>
      </c>
      <c r="K9" s="19">
        <v>2</v>
      </c>
      <c r="L9" t="s">
        <v>120</v>
      </c>
    </row>
    <row r="10" spans="1:12">
      <c r="A10">
        <v>33</v>
      </c>
      <c r="B10">
        <v>63</v>
      </c>
      <c r="C10" t="s">
        <v>0</v>
      </c>
      <c r="D10">
        <v>1</v>
      </c>
      <c r="E10" t="s">
        <v>6</v>
      </c>
      <c r="F10" t="s">
        <v>77</v>
      </c>
      <c r="G10" t="s">
        <v>124</v>
      </c>
      <c r="H10" s="1">
        <v>16309</v>
      </c>
      <c r="I10" s="23">
        <f>2014-1944</f>
        <v>70</v>
      </c>
      <c r="J10" t="s">
        <v>129</v>
      </c>
      <c r="K10" s="19">
        <v>2</v>
      </c>
      <c r="L10" t="s">
        <v>120</v>
      </c>
    </row>
    <row r="11" spans="1:12">
      <c r="A11">
        <v>33</v>
      </c>
      <c r="B11">
        <v>63</v>
      </c>
      <c r="C11" t="s">
        <v>0</v>
      </c>
      <c r="D11">
        <v>1</v>
      </c>
      <c r="E11" t="s">
        <v>42</v>
      </c>
      <c r="F11" t="s">
        <v>97</v>
      </c>
      <c r="G11" t="s">
        <v>120</v>
      </c>
      <c r="H11" s="1">
        <v>20359</v>
      </c>
      <c r="I11" s="23">
        <f>2014-1955</f>
        <v>59</v>
      </c>
      <c r="J11" t="s">
        <v>136</v>
      </c>
      <c r="K11" s="19">
        <v>3</v>
      </c>
      <c r="L11" t="s">
        <v>120</v>
      </c>
    </row>
    <row r="12" spans="1:12">
      <c r="A12">
        <v>33</v>
      </c>
      <c r="B12">
        <v>63</v>
      </c>
      <c r="C12" t="s">
        <v>0</v>
      </c>
      <c r="D12">
        <v>1</v>
      </c>
      <c r="E12" t="s">
        <v>56</v>
      </c>
      <c r="F12" t="s">
        <v>43</v>
      </c>
      <c r="G12" t="s">
        <v>120</v>
      </c>
      <c r="H12" s="1">
        <v>32183</v>
      </c>
      <c r="I12" s="23">
        <f>2014-1988</f>
        <v>26</v>
      </c>
      <c r="J12" t="s">
        <v>127</v>
      </c>
      <c r="K12" s="19">
        <v>3</v>
      </c>
      <c r="L12" t="s">
        <v>120</v>
      </c>
    </row>
    <row r="13" spans="1:12">
      <c r="A13">
        <v>33</v>
      </c>
      <c r="B13">
        <v>63</v>
      </c>
      <c r="C13" t="s">
        <v>0</v>
      </c>
      <c r="D13">
        <v>1</v>
      </c>
      <c r="E13" t="s">
        <v>152</v>
      </c>
      <c r="F13" t="s">
        <v>145</v>
      </c>
      <c r="G13" t="s">
        <v>120</v>
      </c>
      <c r="H13" s="1">
        <v>20695</v>
      </c>
      <c r="I13" s="23">
        <f>2014-1956</f>
        <v>58</v>
      </c>
      <c r="J13" t="s">
        <v>121</v>
      </c>
      <c r="K13" s="19">
        <v>3</v>
      </c>
      <c r="L13" t="s">
        <v>120</v>
      </c>
    </row>
    <row r="14" spans="1:12">
      <c r="A14">
        <v>33</v>
      </c>
      <c r="B14">
        <v>63</v>
      </c>
      <c r="C14" t="s">
        <v>0</v>
      </c>
      <c r="D14">
        <v>1</v>
      </c>
      <c r="E14" t="s">
        <v>44</v>
      </c>
      <c r="F14" t="s">
        <v>140</v>
      </c>
      <c r="G14" t="s">
        <v>124</v>
      </c>
      <c r="H14" s="1">
        <v>19041</v>
      </c>
      <c r="I14" s="23">
        <f>2014-1952</f>
        <v>62</v>
      </c>
      <c r="J14" t="s">
        <v>69</v>
      </c>
      <c r="K14" s="19">
        <v>7</v>
      </c>
      <c r="L14" t="s">
        <v>120</v>
      </c>
    </row>
    <row r="15" spans="1:12">
      <c r="A15">
        <v>33</v>
      </c>
      <c r="B15">
        <v>63</v>
      </c>
      <c r="C15" t="s">
        <v>0</v>
      </c>
      <c r="D15">
        <v>1</v>
      </c>
      <c r="E15" t="s">
        <v>103</v>
      </c>
      <c r="F15" t="s">
        <v>96</v>
      </c>
      <c r="G15" t="s">
        <v>120</v>
      </c>
      <c r="H15" s="1">
        <v>24705</v>
      </c>
      <c r="I15" s="23">
        <f>2014-1967</f>
        <v>47</v>
      </c>
      <c r="J15" t="s">
        <v>133</v>
      </c>
      <c r="K15" s="19">
        <v>8</v>
      </c>
      <c r="L15" t="s">
        <v>120</v>
      </c>
    </row>
    <row r="16" spans="1:12">
      <c r="A16">
        <v>33</v>
      </c>
      <c r="B16">
        <v>63</v>
      </c>
      <c r="C16" t="s">
        <v>0</v>
      </c>
      <c r="D16">
        <v>1</v>
      </c>
      <c r="E16" t="s">
        <v>63</v>
      </c>
      <c r="F16" t="s">
        <v>99</v>
      </c>
      <c r="G16" t="s">
        <v>124</v>
      </c>
      <c r="H16" s="1">
        <v>19148</v>
      </c>
      <c r="I16" s="23">
        <f>2014-1952</f>
        <v>62</v>
      </c>
      <c r="J16" t="s">
        <v>136</v>
      </c>
      <c r="K16" s="19">
        <v>3</v>
      </c>
      <c r="L16" t="s">
        <v>120</v>
      </c>
    </row>
    <row r="17" spans="1:12">
      <c r="A17">
        <v>33</v>
      </c>
      <c r="B17">
        <v>63</v>
      </c>
      <c r="C17" t="s">
        <v>0</v>
      </c>
      <c r="D17">
        <v>1</v>
      </c>
      <c r="E17" t="s">
        <v>63</v>
      </c>
      <c r="F17" t="s">
        <v>57</v>
      </c>
      <c r="G17" t="s">
        <v>124</v>
      </c>
      <c r="H17" s="1">
        <v>25906</v>
      </c>
      <c r="I17" s="23">
        <f>2014-1970</f>
        <v>44</v>
      </c>
      <c r="J17" t="s">
        <v>142</v>
      </c>
      <c r="K17" s="19">
        <v>5</v>
      </c>
      <c r="L17" t="s">
        <v>120</v>
      </c>
    </row>
    <row r="18" spans="1:12">
      <c r="A18">
        <v>33</v>
      </c>
      <c r="B18">
        <v>63</v>
      </c>
      <c r="C18" t="s">
        <v>0</v>
      </c>
      <c r="D18">
        <v>1</v>
      </c>
      <c r="E18" t="s">
        <v>7</v>
      </c>
      <c r="F18" t="s">
        <v>109</v>
      </c>
      <c r="G18" t="s">
        <v>120</v>
      </c>
      <c r="H18" s="1">
        <v>23957</v>
      </c>
      <c r="I18" s="23">
        <f>2014-1965</f>
        <v>49</v>
      </c>
      <c r="J18" t="s">
        <v>127</v>
      </c>
      <c r="K18" s="19">
        <v>3</v>
      </c>
      <c r="L18" t="s">
        <v>120</v>
      </c>
    </row>
    <row r="19" spans="1:12">
      <c r="A19">
        <v>33</v>
      </c>
      <c r="B19">
        <v>63</v>
      </c>
      <c r="C19" t="s">
        <v>0</v>
      </c>
      <c r="D19">
        <v>1</v>
      </c>
      <c r="E19" t="s">
        <v>66</v>
      </c>
      <c r="F19" t="s">
        <v>82</v>
      </c>
      <c r="G19" t="s">
        <v>120</v>
      </c>
      <c r="H19" s="1">
        <v>25174</v>
      </c>
      <c r="I19" s="23">
        <f>2014-1968</f>
        <v>46</v>
      </c>
      <c r="J19" t="s">
        <v>133</v>
      </c>
      <c r="K19" s="19">
        <v>8</v>
      </c>
      <c r="L19" t="s">
        <v>120</v>
      </c>
    </row>
    <row r="20" spans="1:12">
      <c r="A20">
        <v>33</v>
      </c>
      <c r="B20">
        <v>63</v>
      </c>
      <c r="C20" t="s">
        <v>0</v>
      </c>
      <c r="D20">
        <v>1</v>
      </c>
      <c r="E20" t="s">
        <v>67</v>
      </c>
      <c r="F20" t="s">
        <v>149</v>
      </c>
      <c r="G20" t="s">
        <v>120</v>
      </c>
      <c r="H20" s="1">
        <v>17175</v>
      </c>
      <c r="I20" s="23">
        <f>2014-1947</f>
        <v>67</v>
      </c>
      <c r="J20" t="s">
        <v>121</v>
      </c>
      <c r="K20" s="19">
        <v>3</v>
      </c>
      <c r="L20" t="s">
        <v>120</v>
      </c>
    </row>
    <row r="21" spans="1:12">
      <c r="A21">
        <v>33</v>
      </c>
      <c r="B21">
        <v>63</v>
      </c>
      <c r="C21" t="s">
        <v>0</v>
      </c>
      <c r="D21">
        <v>1</v>
      </c>
      <c r="E21" t="s">
        <v>8</v>
      </c>
      <c r="F21" t="s">
        <v>65</v>
      </c>
      <c r="G21" t="s">
        <v>124</v>
      </c>
      <c r="H21" s="1">
        <v>19100</v>
      </c>
      <c r="I21" s="23">
        <f>2014-1952</f>
        <v>62</v>
      </c>
      <c r="J21" t="s">
        <v>129</v>
      </c>
      <c r="K21" s="19">
        <v>2</v>
      </c>
      <c r="L21" t="s">
        <v>120</v>
      </c>
    </row>
    <row r="22" spans="1:12">
      <c r="A22">
        <v>33</v>
      </c>
      <c r="B22">
        <v>63</v>
      </c>
      <c r="C22" t="s">
        <v>0</v>
      </c>
      <c r="D22">
        <v>1</v>
      </c>
      <c r="E22" t="s">
        <v>9</v>
      </c>
      <c r="F22" t="s">
        <v>126</v>
      </c>
      <c r="G22" t="s">
        <v>120</v>
      </c>
      <c r="H22" s="1">
        <v>22613</v>
      </c>
      <c r="I22" s="23">
        <f>2014-1961</f>
        <v>53</v>
      </c>
      <c r="J22" t="s">
        <v>71</v>
      </c>
      <c r="K22" s="19">
        <v>3</v>
      </c>
      <c r="L22" t="s">
        <v>120</v>
      </c>
    </row>
    <row r="23" spans="1:12">
      <c r="A23">
        <v>33</v>
      </c>
      <c r="B23">
        <v>63</v>
      </c>
      <c r="C23" t="s">
        <v>0</v>
      </c>
      <c r="D23">
        <v>1</v>
      </c>
      <c r="E23" t="s">
        <v>10</v>
      </c>
      <c r="F23" t="s">
        <v>111</v>
      </c>
      <c r="G23" t="s">
        <v>124</v>
      </c>
      <c r="H23" s="1">
        <v>26270</v>
      </c>
      <c r="I23" s="23">
        <f>2014-1971</f>
        <v>43</v>
      </c>
      <c r="J23" t="s">
        <v>129</v>
      </c>
      <c r="K23" s="19">
        <v>2</v>
      </c>
      <c r="L23" t="s">
        <v>120</v>
      </c>
    </row>
    <row r="24" spans="1:12">
      <c r="A24">
        <v>33</v>
      </c>
      <c r="B24">
        <v>63</v>
      </c>
      <c r="C24" t="s">
        <v>0</v>
      </c>
      <c r="D24">
        <v>1</v>
      </c>
      <c r="E24" t="s">
        <v>59</v>
      </c>
      <c r="F24" t="s">
        <v>130</v>
      </c>
      <c r="G24" t="s">
        <v>124</v>
      </c>
      <c r="H24" s="1">
        <v>19219</v>
      </c>
      <c r="I24" s="23">
        <f>2014-1952</f>
        <v>62</v>
      </c>
      <c r="J24" t="s">
        <v>75</v>
      </c>
      <c r="K24" s="19">
        <v>2</v>
      </c>
      <c r="L24" t="s">
        <v>120</v>
      </c>
    </row>
    <row r="25" spans="1:12">
      <c r="A25">
        <v>33</v>
      </c>
      <c r="B25">
        <v>63</v>
      </c>
      <c r="C25" t="s">
        <v>0</v>
      </c>
      <c r="D25">
        <v>1</v>
      </c>
      <c r="E25" t="s">
        <v>40</v>
      </c>
      <c r="F25" t="s">
        <v>143</v>
      </c>
      <c r="G25" t="s">
        <v>124</v>
      </c>
      <c r="H25" s="1">
        <v>18009</v>
      </c>
      <c r="I25" s="23">
        <f>2014-1949</f>
        <v>65</v>
      </c>
      <c r="J25" t="s">
        <v>129</v>
      </c>
      <c r="K25" s="19">
        <v>2</v>
      </c>
      <c r="L25" t="s">
        <v>120</v>
      </c>
    </row>
    <row r="26" spans="1:12">
      <c r="A26">
        <v>33</v>
      </c>
      <c r="B26">
        <v>63</v>
      </c>
      <c r="C26" t="s">
        <v>0</v>
      </c>
      <c r="D26">
        <v>1</v>
      </c>
      <c r="E26" t="s">
        <v>11</v>
      </c>
      <c r="F26" t="s">
        <v>147</v>
      </c>
      <c r="G26" t="s">
        <v>124</v>
      </c>
      <c r="H26" s="1">
        <v>24566</v>
      </c>
      <c r="I26" s="23">
        <f>2014-1967</f>
        <v>47</v>
      </c>
      <c r="J26" t="s">
        <v>71</v>
      </c>
      <c r="K26" s="19">
        <v>3</v>
      </c>
      <c r="L26" t="s">
        <v>120</v>
      </c>
    </row>
    <row r="27" spans="1:12">
      <c r="A27">
        <v>33</v>
      </c>
      <c r="B27">
        <v>63</v>
      </c>
      <c r="C27" t="s">
        <v>0</v>
      </c>
      <c r="D27">
        <v>1</v>
      </c>
      <c r="E27" t="s">
        <v>12</v>
      </c>
      <c r="F27" t="s">
        <v>13</v>
      </c>
      <c r="G27" t="s">
        <v>124</v>
      </c>
      <c r="H27" s="1">
        <v>28238</v>
      </c>
      <c r="I27" s="23">
        <f>2014-1977</f>
        <v>37</v>
      </c>
      <c r="J27" t="s">
        <v>131</v>
      </c>
      <c r="K27" s="19">
        <v>3</v>
      </c>
      <c r="L27" t="s">
        <v>120</v>
      </c>
    </row>
    <row r="28" spans="1:12">
      <c r="A28">
        <v>33</v>
      </c>
      <c r="B28">
        <v>63</v>
      </c>
      <c r="C28" t="s">
        <v>0</v>
      </c>
      <c r="D28">
        <v>1</v>
      </c>
      <c r="E28" t="s">
        <v>14</v>
      </c>
      <c r="F28" t="s">
        <v>78</v>
      </c>
      <c r="G28" t="s">
        <v>124</v>
      </c>
      <c r="H28" s="1">
        <v>25291</v>
      </c>
      <c r="I28" s="23">
        <f>2014-1969</f>
        <v>45</v>
      </c>
      <c r="J28" t="s">
        <v>110</v>
      </c>
      <c r="K28" s="19">
        <v>3</v>
      </c>
      <c r="L28" t="s">
        <v>120</v>
      </c>
    </row>
    <row r="29" spans="1:12">
      <c r="A29">
        <v>33</v>
      </c>
      <c r="B29">
        <v>63</v>
      </c>
      <c r="C29" t="s">
        <v>0</v>
      </c>
      <c r="D29">
        <v>1</v>
      </c>
      <c r="E29" t="s">
        <v>15</v>
      </c>
      <c r="F29" t="s">
        <v>81</v>
      </c>
      <c r="G29" t="s">
        <v>120</v>
      </c>
      <c r="H29" s="1">
        <v>22419</v>
      </c>
      <c r="I29" s="23">
        <f>2014-1961</f>
        <v>53</v>
      </c>
      <c r="J29" t="s">
        <v>136</v>
      </c>
      <c r="K29" s="19">
        <v>3</v>
      </c>
      <c r="L29" t="s">
        <v>120</v>
      </c>
    </row>
    <row r="30" spans="1:12">
      <c r="A30">
        <v>33</v>
      </c>
      <c r="B30">
        <v>63</v>
      </c>
      <c r="C30" t="s">
        <v>0</v>
      </c>
      <c r="D30">
        <v>1</v>
      </c>
      <c r="E30" t="s">
        <v>16</v>
      </c>
      <c r="F30" t="s">
        <v>132</v>
      </c>
      <c r="G30" t="s">
        <v>124</v>
      </c>
      <c r="H30" s="1">
        <v>20530</v>
      </c>
      <c r="I30" s="23">
        <f>2014-1956</f>
        <v>58</v>
      </c>
      <c r="J30" t="s">
        <v>72</v>
      </c>
      <c r="K30" s="19">
        <v>4</v>
      </c>
      <c r="L30" t="s">
        <v>120</v>
      </c>
    </row>
    <row r="31" spans="1:12">
      <c r="A31">
        <v>33</v>
      </c>
      <c r="B31">
        <v>63</v>
      </c>
      <c r="C31" t="s">
        <v>0</v>
      </c>
      <c r="D31">
        <v>1</v>
      </c>
      <c r="E31" t="s">
        <v>17</v>
      </c>
      <c r="F31" t="s">
        <v>62</v>
      </c>
      <c r="G31" t="s">
        <v>120</v>
      </c>
      <c r="H31" s="1">
        <v>29973</v>
      </c>
      <c r="I31" s="23">
        <f>2014-1982</f>
        <v>32</v>
      </c>
      <c r="J31" t="s">
        <v>141</v>
      </c>
      <c r="K31" s="19">
        <v>3</v>
      </c>
      <c r="L31" t="s">
        <v>120</v>
      </c>
    </row>
    <row r="32" spans="1:12">
      <c r="A32">
        <v>33</v>
      </c>
      <c r="B32">
        <v>63</v>
      </c>
      <c r="C32" t="s">
        <v>0</v>
      </c>
      <c r="D32">
        <v>1</v>
      </c>
      <c r="E32" t="s">
        <v>18</v>
      </c>
      <c r="F32" t="s">
        <v>79</v>
      </c>
      <c r="G32" t="s">
        <v>124</v>
      </c>
      <c r="H32" s="1">
        <v>19470</v>
      </c>
      <c r="I32" s="23">
        <f>2014-1953</f>
        <v>61</v>
      </c>
      <c r="J32" t="s">
        <v>85</v>
      </c>
      <c r="K32" s="19">
        <v>3</v>
      </c>
      <c r="L32" t="s">
        <v>120</v>
      </c>
    </row>
    <row r="33" spans="1:12">
      <c r="A33">
        <v>33</v>
      </c>
      <c r="B33">
        <v>63</v>
      </c>
      <c r="C33" t="s">
        <v>0</v>
      </c>
      <c r="D33">
        <v>1</v>
      </c>
      <c r="E33" t="s">
        <v>19</v>
      </c>
      <c r="F33" t="s">
        <v>91</v>
      </c>
      <c r="G33" t="s">
        <v>120</v>
      </c>
      <c r="H33" s="1">
        <v>29577</v>
      </c>
      <c r="I33" s="23">
        <f>2014-1980</f>
        <v>34</v>
      </c>
      <c r="J33" t="s">
        <v>74</v>
      </c>
      <c r="K33" s="19">
        <v>3</v>
      </c>
      <c r="L33" t="s">
        <v>120</v>
      </c>
    </row>
    <row r="34" spans="1:12">
      <c r="A34">
        <v>33</v>
      </c>
      <c r="B34">
        <v>63</v>
      </c>
      <c r="C34" t="s">
        <v>0</v>
      </c>
      <c r="D34">
        <v>1</v>
      </c>
      <c r="E34" t="s">
        <v>20</v>
      </c>
      <c r="F34" t="s">
        <v>78</v>
      </c>
      <c r="G34" t="s">
        <v>124</v>
      </c>
      <c r="H34" s="1">
        <v>27067</v>
      </c>
      <c r="I34" s="23">
        <f>2014-1974</f>
        <v>40</v>
      </c>
      <c r="J34" t="s">
        <v>136</v>
      </c>
      <c r="K34" s="19">
        <v>3</v>
      </c>
      <c r="L34" t="s">
        <v>120</v>
      </c>
    </row>
    <row r="35" spans="1:12">
      <c r="A35">
        <v>33</v>
      </c>
      <c r="B35">
        <v>63</v>
      </c>
      <c r="C35" t="s">
        <v>0</v>
      </c>
      <c r="D35">
        <v>1</v>
      </c>
      <c r="E35" t="s">
        <v>21</v>
      </c>
      <c r="F35" t="s">
        <v>123</v>
      </c>
      <c r="G35" t="s">
        <v>124</v>
      </c>
      <c r="H35" s="1">
        <v>19141</v>
      </c>
      <c r="I35" s="23">
        <f>2014-1952</f>
        <v>62</v>
      </c>
      <c r="J35" t="s">
        <v>121</v>
      </c>
      <c r="K35" s="19">
        <v>3</v>
      </c>
      <c r="L35" t="s">
        <v>120</v>
      </c>
    </row>
    <row r="36" spans="1:12">
      <c r="A36">
        <v>33</v>
      </c>
      <c r="B36">
        <v>63</v>
      </c>
      <c r="C36" t="s">
        <v>0</v>
      </c>
      <c r="D36">
        <v>1</v>
      </c>
      <c r="E36" t="s">
        <v>22</v>
      </c>
      <c r="F36" t="s">
        <v>144</v>
      </c>
      <c r="G36" t="s">
        <v>124</v>
      </c>
      <c r="H36" s="1">
        <v>20189</v>
      </c>
      <c r="I36" s="23">
        <f>2014-1955</f>
        <v>59</v>
      </c>
      <c r="J36" t="s">
        <v>88</v>
      </c>
      <c r="K36" s="19">
        <v>3</v>
      </c>
      <c r="L36" t="s">
        <v>120</v>
      </c>
    </row>
    <row r="37" spans="1:12">
      <c r="A37">
        <v>33</v>
      </c>
      <c r="B37">
        <v>63</v>
      </c>
      <c r="C37" t="s">
        <v>0</v>
      </c>
      <c r="D37">
        <v>1</v>
      </c>
      <c r="E37" t="s">
        <v>51</v>
      </c>
      <c r="F37" t="s">
        <v>90</v>
      </c>
      <c r="G37" t="s">
        <v>120</v>
      </c>
      <c r="H37" s="1">
        <v>27674</v>
      </c>
      <c r="I37" s="23">
        <f>2014-1975</f>
        <v>39</v>
      </c>
      <c r="J37" t="s">
        <v>137</v>
      </c>
      <c r="K37" s="19">
        <v>4</v>
      </c>
      <c r="L37" t="s">
        <v>120</v>
      </c>
    </row>
    <row r="38" spans="1:12">
      <c r="A38">
        <v>33</v>
      </c>
      <c r="B38">
        <v>63</v>
      </c>
      <c r="C38" t="s">
        <v>0</v>
      </c>
      <c r="D38">
        <v>1</v>
      </c>
      <c r="E38" t="s">
        <v>23</v>
      </c>
      <c r="F38" t="s">
        <v>100</v>
      </c>
      <c r="G38" t="s">
        <v>120</v>
      </c>
      <c r="H38" s="1">
        <v>31335</v>
      </c>
      <c r="I38" s="23">
        <f>2014-1985</f>
        <v>29</v>
      </c>
      <c r="J38" t="s">
        <v>110</v>
      </c>
      <c r="K38" s="19">
        <v>3</v>
      </c>
      <c r="L38" t="s">
        <v>120</v>
      </c>
    </row>
    <row r="39" spans="1:12">
      <c r="A39">
        <v>33</v>
      </c>
      <c r="B39">
        <v>63</v>
      </c>
      <c r="C39" t="s">
        <v>0</v>
      </c>
      <c r="D39">
        <v>1</v>
      </c>
      <c r="E39" t="s">
        <v>24</v>
      </c>
      <c r="F39" t="s">
        <v>143</v>
      </c>
      <c r="G39" t="s">
        <v>124</v>
      </c>
      <c r="H39" s="1">
        <v>16664</v>
      </c>
      <c r="I39" s="23">
        <f>2014-1945</f>
        <v>69</v>
      </c>
      <c r="J39" t="s">
        <v>122</v>
      </c>
      <c r="K39" s="19">
        <v>7</v>
      </c>
      <c r="L39" t="s">
        <v>120</v>
      </c>
    </row>
    <row r="40" spans="1:12">
      <c r="A40">
        <v>33</v>
      </c>
      <c r="B40">
        <v>63</v>
      </c>
      <c r="C40" t="s">
        <v>0</v>
      </c>
      <c r="D40">
        <v>1</v>
      </c>
      <c r="E40" t="s">
        <v>25</v>
      </c>
      <c r="F40" t="s">
        <v>73</v>
      </c>
      <c r="G40" t="s">
        <v>120</v>
      </c>
      <c r="H40" s="1">
        <v>29646</v>
      </c>
      <c r="I40" s="23">
        <f>2014-1981</f>
        <v>33</v>
      </c>
      <c r="J40" t="s">
        <v>110</v>
      </c>
      <c r="K40" s="19">
        <v>3</v>
      </c>
      <c r="L40" t="s">
        <v>120</v>
      </c>
    </row>
    <row r="41" spans="1:12">
      <c r="A41">
        <v>33</v>
      </c>
      <c r="B41">
        <v>63</v>
      </c>
      <c r="C41" t="s">
        <v>0</v>
      </c>
      <c r="D41">
        <v>1</v>
      </c>
      <c r="E41" t="s">
        <v>60</v>
      </c>
      <c r="F41" t="s">
        <v>52</v>
      </c>
      <c r="G41" t="s">
        <v>120</v>
      </c>
      <c r="H41" s="1">
        <v>19337</v>
      </c>
      <c r="I41" s="23">
        <f>2014-1952</f>
        <v>62</v>
      </c>
      <c r="J41" t="s">
        <v>72</v>
      </c>
      <c r="K41" s="19">
        <v>4</v>
      </c>
      <c r="L41" t="s">
        <v>120</v>
      </c>
    </row>
    <row r="42" spans="1:12">
      <c r="A42">
        <v>33</v>
      </c>
      <c r="B42">
        <v>63</v>
      </c>
      <c r="C42" t="s">
        <v>0</v>
      </c>
      <c r="D42">
        <v>1</v>
      </c>
      <c r="E42" t="s">
        <v>55</v>
      </c>
      <c r="F42" t="s">
        <v>92</v>
      </c>
      <c r="G42" t="s">
        <v>124</v>
      </c>
      <c r="H42" s="1">
        <v>29594</v>
      </c>
      <c r="I42" s="23">
        <f>2014-1981</f>
        <v>33</v>
      </c>
      <c r="J42" t="s">
        <v>151</v>
      </c>
      <c r="K42" s="19">
        <v>8</v>
      </c>
      <c r="L42" t="s">
        <v>120</v>
      </c>
    </row>
    <row r="43" spans="1:12">
      <c r="A43">
        <v>33</v>
      </c>
      <c r="B43">
        <v>63</v>
      </c>
      <c r="C43" t="s">
        <v>0</v>
      </c>
      <c r="D43">
        <v>1</v>
      </c>
      <c r="E43" t="s">
        <v>26</v>
      </c>
      <c r="F43" t="s">
        <v>84</v>
      </c>
      <c r="G43" t="s">
        <v>120</v>
      </c>
      <c r="H43" s="1">
        <v>19929</v>
      </c>
      <c r="I43" s="23">
        <f>2014-1954</f>
        <v>60</v>
      </c>
      <c r="J43" t="s">
        <v>146</v>
      </c>
      <c r="K43" s="19">
        <v>5</v>
      </c>
      <c r="L43" t="s">
        <v>120</v>
      </c>
    </row>
    <row r="44" spans="1:12">
      <c r="A44">
        <v>33</v>
      </c>
      <c r="B44">
        <v>63</v>
      </c>
      <c r="C44" t="s">
        <v>0</v>
      </c>
      <c r="D44">
        <v>1</v>
      </c>
      <c r="E44" t="s">
        <v>27</v>
      </c>
      <c r="F44" t="s">
        <v>144</v>
      </c>
      <c r="G44" t="s">
        <v>124</v>
      </c>
      <c r="H44" s="1">
        <v>18635</v>
      </c>
      <c r="I44" s="23">
        <f>2014-1951</f>
        <v>63</v>
      </c>
      <c r="J44" t="s">
        <v>75</v>
      </c>
      <c r="K44" s="19">
        <v>2</v>
      </c>
      <c r="L44" t="s">
        <v>120</v>
      </c>
    </row>
    <row r="45" spans="1:12">
      <c r="A45">
        <v>33</v>
      </c>
      <c r="B45">
        <v>63</v>
      </c>
      <c r="C45" t="s">
        <v>0</v>
      </c>
      <c r="D45">
        <v>1</v>
      </c>
      <c r="E45" t="s">
        <v>28</v>
      </c>
      <c r="F45" t="s">
        <v>29</v>
      </c>
      <c r="G45" t="s">
        <v>124</v>
      </c>
      <c r="H45" s="1">
        <v>30029</v>
      </c>
      <c r="I45" s="23">
        <f>2014-1982</f>
        <v>32</v>
      </c>
      <c r="J45" t="s">
        <v>125</v>
      </c>
      <c r="K45" s="19">
        <v>4</v>
      </c>
      <c r="L45" t="s">
        <v>120</v>
      </c>
    </row>
    <row r="46" spans="1:12">
      <c r="A46">
        <v>33</v>
      </c>
      <c r="B46">
        <v>63</v>
      </c>
      <c r="C46" t="s">
        <v>0</v>
      </c>
      <c r="D46">
        <v>1</v>
      </c>
      <c r="E46" t="s">
        <v>68</v>
      </c>
      <c r="F46" t="s">
        <v>83</v>
      </c>
      <c r="G46" t="s">
        <v>124</v>
      </c>
      <c r="H46" s="1">
        <v>20559</v>
      </c>
      <c r="I46" s="23">
        <f>2014-1956</f>
        <v>58</v>
      </c>
      <c r="J46" t="s">
        <v>148</v>
      </c>
      <c r="K46" s="19">
        <v>1</v>
      </c>
      <c r="L46" t="s">
        <v>120</v>
      </c>
    </row>
    <row r="47" spans="1:12">
      <c r="A47">
        <v>33</v>
      </c>
      <c r="B47">
        <v>63</v>
      </c>
      <c r="C47" t="s">
        <v>0</v>
      </c>
      <c r="D47">
        <v>1</v>
      </c>
      <c r="E47" t="s">
        <v>54</v>
      </c>
      <c r="F47" t="s">
        <v>94</v>
      </c>
      <c r="G47" t="s">
        <v>120</v>
      </c>
      <c r="H47" s="1">
        <v>32303</v>
      </c>
      <c r="I47" s="23">
        <f>2014-1988</f>
        <v>26</v>
      </c>
      <c r="J47" t="s">
        <v>135</v>
      </c>
      <c r="K47" s="19">
        <v>3</v>
      </c>
      <c r="L47" t="s">
        <v>120</v>
      </c>
    </row>
    <row r="48" spans="1:12">
      <c r="A48">
        <v>33</v>
      </c>
      <c r="B48">
        <v>63</v>
      </c>
      <c r="C48" t="s">
        <v>0</v>
      </c>
      <c r="D48">
        <v>1</v>
      </c>
      <c r="E48" t="s">
        <v>30</v>
      </c>
      <c r="F48" t="s">
        <v>50</v>
      </c>
      <c r="G48" t="s">
        <v>120</v>
      </c>
      <c r="H48" s="1">
        <v>22641</v>
      </c>
      <c r="I48" s="23">
        <f>2014-1961</f>
        <v>53</v>
      </c>
      <c r="J48" t="s">
        <v>121</v>
      </c>
      <c r="K48" s="19">
        <v>3</v>
      </c>
      <c r="L48" t="s">
        <v>120</v>
      </c>
    </row>
    <row r="49" spans="1:12">
      <c r="A49">
        <v>33</v>
      </c>
      <c r="B49">
        <v>63</v>
      </c>
      <c r="C49" t="s">
        <v>0</v>
      </c>
      <c r="D49">
        <v>1</v>
      </c>
      <c r="E49" t="s">
        <v>31</v>
      </c>
      <c r="F49" t="s">
        <v>32</v>
      </c>
      <c r="G49" t="s">
        <v>124</v>
      </c>
      <c r="H49" s="1">
        <v>24326</v>
      </c>
      <c r="I49" s="23">
        <f>2014-1966</f>
        <v>48</v>
      </c>
      <c r="J49" t="s">
        <v>151</v>
      </c>
      <c r="K49" s="19">
        <v>8</v>
      </c>
      <c r="L49" t="s">
        <v>120</v>
      </c>
    </row>
    <row r="50" spans="1:12">
      <c r="A50">
        <v>33</v>
      </c>
      <c r="B50">
        <v>63</v>
      </c>
      <c r="C50" t="s">
        <v>0</v>
      </c>
      <c r="D50">
        <v>1</v>
      </c>
      <c r="E50" t="s">
        <v>64</v>
      </c>
      <c r="F50" t="s">
        <v>101</v>
      </c>
      <c r="G50" t="s">
        <v>120</v>
      </c>
      <c r="H50" s="1">
        <v>20379</v>
      </c>
      <c r="I50" s="23">
        <f>2014-1955</f>
        <v>59</v>
      </c>
      <c r="J50" t="s">
        <v>125</v>
      </c>
      <c r="K50" s="19">
        <v>4</v>
      </c>
      <c r="L50" t="s">
        <v>120</v>
      </c>
    </row>
    <row r="51" spans="1:12">
      <c r="A51">
        <v>33</v>
      </c>
      <c r="B51">
        <v>63</v>
      </c>
      <c r="C51" t="s">
        <v>0</v>
      </c>
      <c r="D51">
        <v>1</v>
      </c>
      <c r="E51" t="s">
        <v>33</v>
      </c>
      <c r="F51" t="s">
        <v>34</v>
      </c>
      <c r="G51" t="s">
        <v>124</v>
      </c>
      <c r="H51" s="1">
        <v>18113</v>
      </c>
      <c r="I51" s="23">
        <f>2014-1949</f>
        <v>65</v>
      </c>
      <c r="J51" t="s">
        <v>121</v>
      </c>
      <c r="K51" s="19">
        <v>3</v>
      </c>
      <c r="L51" t="s">
        <v>120</v>
      </c>
    </row>
    <row r="52" spans="1:12">
      <c r="A52">
        <v>33</v>
      </c>
      <c r="B52">
        <v>63</v>
      </c>
      <c r="C52" t="s">
        <v>0</v>
      </c>
      <c r="D52">
        <v>1</v>
      </c>
      <c r="E52" t="s">
        <v>46</v>
      </c>
      <c r="F52" t="s">
        <v>128</v>
      </c>
      <c r="G52" t="s">
        <v>120</v>
      </c>
      <c r="H52" s="1">
        <v>28121</v>
      </c>
      <c r="I52" s="23">
        <f>2014-1976</f>
        <v>38</v>
      </c>
      <c r="J52" t="s">
        <v>127</v>
      </c>
      <c r="K52" s="19">
        <v>3</v>
      </c>
      <c r="L52" t="s">
        <v>120</v>
      </c>
    </row>
    <row r="53" spans="1:12">
      <c r="A53">
        <v>33</v>
      </c>
      <c r="B53">
        <v>63</v>
      </c>
      <c r="C53" t="s">
        <v>0</v>
      </c>
      <c r="D53">
        <v>1</v>
      </c>
      <c r="E53" t="s">
        <v>104</v>
      </c>
      <c r="F53" t="s">
        <v>89</v>
      </c>
      <c r="G53" t="s">
        <v>124</v>
      </c>
      <c r="H53" s="1">
        <v>31038</v>
      </c>
      <c r="I53" s="23">
        <f>2014-1984</f>
        <v>30</v>
      </c>
      <c r="J53" t="s">
        <v>125</v>
      </c>
      <c r="K53" s="19">
        <v>4</v>
      </c>
      <c r="L53" t="s">
        <v>120</v>
      </c>
    </row>
    <row r="54" spans="1:12">
      <c r="A54">
        <v>33</v>
      </c>
      <c r="B54">
        <v>63</v>
      </c>
      <c r="C54" t="s">
        <v>0</v>
      </c>
      <c r="D54">
        <v>1</v>
      </c>
      <c r="E54" t="s">
        <v>58</v>
      </c>
      <c r="F54" t="s">
        <v>102</v>
      </c>
      <c r="G54" t="s">
        <v>124</v>
      </c>
      <c r="H54" s="1">
        <v>28418</v>
      </c>
      <c r="I54" s="23">
        <f>2014-1977</f>
        <v>37</v>
      </c>
      <c r="J54" t="s">
        <v>129</v>
      </c>
      <c r="K54" s="19">
        <v>2</v>
      </c>
      <c r="L54" t="s">
        <v>120</v>
      </c>
    </row>
    <row r="55" spans="1:12">
      <c r="A55">
        <v>33</v>
      </c>
      <c r="B55">
        <v>63</v>
      </c>
      <c r="C55" t="s">
        <v>0</v>
      </c>
      <c r="D55">
        <v>1</v>
      </c>
      <c r="E55" t="s">
        <v>35</v>
      </c>
      <c r="F55" t="s">
        <v>105</v>
      </c>
      <c r="G55" t="s">
        <v>120</v>
      </c>
      <c r="H55" s="1">
        <v>26364</v>
      </c>
      <c r="I55" s="23">
        <f>2014-1972</f>
        <v>42</v>
      </c>
      <c r="J55" t="s">
        <v>135</v>
      </c>
      <c r="K55" s="19">
        <v>3</v>
      </c>
      <c r="L55" t="s">
        <v>120</v>
      </c>
    </row>
    <row r="56" spans="1:12">
      <c r="A56">
        <v>33</v>
      </c>
      <c r="B56">
        <v>63</v>
      </c>
      <c r="C56" t="s">
        <v>0</v>
      </c>
      <c r="D56">
        <v>1</v>
      </c>
      <c r="E56" t="s">
        <v>61</v>
      </c>
      <c r="F56" t="s">
        <v>143</v>
      </c>
      <c r="G56" t="s">
        <v>124</v>
      </c>
      <c r="H56" s="1">
        <v>22772</v>
      </c>
      <c r="I56" s="23">
        <f>2014-1962</f>
        <v>52</v>
      </c>
      <c r="J56" t="s">
        <v>121</v>
      </c>
      <c r="K56" s="19">
        <v>3</v>
      </c>
      <c r="L56" t="s">
        <v>120</v>
      </c>
    </row>
    <row r="57" spans="1:12">
      <c r="A57">
        <v>33</v>
      </c>
      <c r="B57">
        <v>63</v>
      </c>
      <c r="C57" t="s">
        <v>0</v>
      </c>
      <c r="D57">
        <v>1</v>
      </c>
      <c r="E57" t="s">
        <v>107</v>
      </c>
      <c r="F57" t="s">
        <v>70</v>
      </c>
      <c r="G57" t="s">
        <v>124</v>
      </c>
      <c r="H57" s="1">
        <v>25144</v>
      </c>
      <c r="I57" s="23">
        <f>2014-1968</f>
        <v>46</v>
      </c>
      <c r="J57" t="s">
        <v>75</v>
      </c>
      <c r="K57" s="19">
        <v>2</v>
      </c>
      <c r="L57" t="s">
        <v>120</v>
      </c>
    </row>
    <row r="58" spans="1:12">
      <c r="A58">
        <v>33</v>
      </c>
      <c r="B58">
        <v>63</v>
      </c>
      <c r="C58" t="s">
        <v>0</v>
      </c>
      <c r="D58">
        <v>1</v>
      </c>
      <c r="E58" t="s">
        <v>49</v>
      </c>
      <c r="F58" t="s">
        <v>87</v>
      </c>
      <c r="G58" t="s">
        <v>124</v>
      </c>
      <c r="H58" s="1">
        <v>17723</v>
      </c>
      <c r="I58" s="23">
        <f>2014-1948</f>
        <v>66</v>
      </c>
      <c r="J58" t="s">
        <v>129</v>
      </c>
      <c r="K58" s="19">
        <v>2</v>
      </c>
      <c r="L58" t="s">
        <v>120</v>
      </c>
    </row>
    <row r="59" spans="1:12">
      <c r="A59">
        <v>33</v>
      </c>
      <c r="B59">
        <v>63</v>
      </c>
      <c r="C59" t="s">
        <v>0</v>
      </c>
      <c r="D59">
        <v>1</v>
      </c>
      <c r="E59" t="s">
        <v>53</v>
      </c>
      <c r="F59" t="s">
        <v>36</v>
      </c>
      <c r="G59" t="s">
        <v>120</v>
      </c>
      <c r="H59" s="1">
        <v>18587</v>
      </c>
      <c r="I59" s="23">
        <f>2014-1950</f>
        <v>64</v>
      </c>
      <c r="J59" t="s">
        <v>138</v>
      </c>
      <c r="K59" s="19">
        <v>3</v>
      </c>
      <c r="L59" t="s">
        <v>98</v>
      </c>
    </row>
    <row r="60" spans="1:12">
      <c r="A60">
        <v>33</v>
      </c>
      <c r="B60">
        <v>63</v>
      </c>
      <c r="C60" t="s">
        <v>0</v>
      </c>
      <c r="D60">
        <v>1</v>
      </c>
      <c r="E60" t="s">
        <v>37</v>
      </c>
      <c r="F60" t="s">
        <v>76</v>
      </c>
      <c r="G60" t="s">
        <v>120</v>
      </c>
      <c r="H60" s="1">
        <v>20406</v>
      </c>
      <c r="I60" s="23">
        <f>2014-1955</f>
        <v>59</v>
      </c>
      <c r="J60" t="s">
        <v>134</v>
      </c>
      <c r="K60" s="19">
        <v>3</v>
      </c>
      <c r="L60" t="s">
        <v>120</v>
      </c>
    </row>
    <row r="61" spans="1:12">
      <c r="A61">
        <v>33</v>
      </c>
      <c r="B61">
        <v>63</v>
      </c>
      <c r="C61" t="s">
        <v>0</v>
      </c>
      <c r="D61">
        <v>1</v>
      </c>
      <c r="E61" t="s">
        <v>38</v>
      </c>
      <c r="F61" t="s">
        <v>86</v>
      </c>
      <c r="G61" t="s">
        <v>120</v>
      </c>
      <c r="H61" s="1">
        <v>22156</v>
      </c>
      <c r="I61" s="23">
        <f>2014-1960</f>
        <v>54</v>
      </c>
      <c r="J61" t="s">
        <v>131</v>
      </c>
      <c r="K61" s="19">
        <v>3</v>
      </c>
      <c r="L61" t="s">
        <v>120</v>
      </c>
    </row>
    <row r="62" spans="1:12">
      <c r="A62">
        <v>33</v>
      </c>
      <c r="B62">
        <v>63</v>
      </c>
      <c r="C62" t="s">
        <v>0</v>
      </c>
      <c r="D62">
        <v>1</v>
      </c>
      <c r="E62" t="s">
        <v>39</v>
      </c>
      <c r="F62" t="s">
        <v>106</v>
      </c>
      <c r="G62" t="s">
        <v>120</v>
      </c>
      <c r="H62" s="1">
        <v>21456</v>
      </c>
      <c r="I62" s="23">
        <f>2014-1958</f>
        <v>56</v>
      </c>
      <c r="J62" t="s">
        <v>127</v>
      </c>
      <c r="K62" s="19">
        <v>3</v>
      </c>
      <c r="L62" t="s">
        <v>120</v>
      </c>
    </row>
    <row r="63" spans="1:12">
      <c r="H63" s="1"/>
    </row>
    <row r="64" spans="1:12">
      <c r="F64" s="53" t="s">
        <v>117</v>
      </c>
      <c r="G64" s="53"/>
      <c r="H64" s="1"/>
    </row>
    <row r="65" spans="5:12">
      <c r="F65" s="10" t="s">
        <v>328</v>
      </c>
      <c r="G65" s="11">
        <f>SUMIF(G2:G62,"F",D2:D62)</f>
        <v>30</v>
      </c>
      <c r="H65" s="1"/>
    </row>
    <row r="66" spans="5:12">
      <c r="F66" s="10" t="s">
        <v>329</v>
      </c>
      <c r="G66" s="11">
        <f>SUMIF(G2:G62,"M",D2:D62)</f>
        <v>31</v>
      </c>
      <c r="H66" s="1"/>
      <c r="K66" s="49" t="s">
        <v>346</v>
      </c>
      <c r="L66" s="50"/>
    </row>
    <row r="67" spans="5:12">
      <c r="H67" s="1"/>
      <c r="K67" s="20" t="s">
        <v>347</v>
      </c>
      <c r="L67" s="24">
        <f>SUMIF(L2:L62,"F",D2:D62)</f>
        <v>60</v>
      </c>
    </row>
    <row r="68" spans="5:12">
      <c r="H68" s="51" t="s">
        <v>330</v>
      </c>
      <c r="I68" s="52"/>
      <c r="K68" s="20" t="s">
        <v>348</v>
      </c>
      <c r="L68" s="24">
        <f>SUMIF(L2:L62,"P",D2:D62)</f>
        <v>1</v>
      </c>
    </row>
    <row r="69" spans="5:12">
      <c r="H69" s="12" t="s">
        <v>331</v>
      </c>
      <c r="I69" s="13">
        <f>SUMIF(I2:I62,"&lt;30",D2:D62)</f>
        <v>3</v>
      </c>
      <c r="K69" s="20" t="s">
        <v>345</v>
      </c>
      <c r="L69" s="24">
        <v>0</v>
      </c>
    </row>
    <row r="70" spans="5:12">
      <c r="H70" s="12" t="s">
        <v>332</v>
      </c>
      <c r="I70" s="28">
        <f>SUMIF(I2:I62,"&lt;45",D2:D62)-I69</f>
        <v>16</v>
      </c>
    </row>
    <row r="71" spans="5:12">
      <c r="H71" s="12" t="s">
        <v>333</v>
      </c>
      <c r="I71" s="28">
        <f>SUMIF(I2:I62,"&lt;60",D2:D62)-I70-I69</f>
        <v>26</v>
      </c>
    </row>
    <row r="72" spans="5:12">
      <c r="H72" s="12" t="s">
        <v>334</v>
      </c>
      <c r="I72" s="28">
        <f>SUMIF(I2:I62,"&lt;75",D2:D62)-I71-I70-I69</f>
        <v>16</v>
      </c>
    </row>
    <row r="73" spans="5:12">
      <c r="H73" s="12" t="s">
        <v>335</v>
      </c>
      <c r="I73" s="28">
        <f>SUMIF(I2:I62,"&lt;90",D2:D62)-I72-I71-I70-I69</f>
        <v>0</v>
      </c>
    </row>
    <row r="74" spans="5:12">
      <c r="H74" s="12" t="s">
        <v>336</v>
      </c>
      <c r="I74" s="13">
        <f>SUMIF(I2:I62,"&gt;=90",D2:D62)</f>
        <v>0</v>
      </c>
    </row>
    <row r="75" spans="5:12">
      <c r="H75" s="1"/>
    </row>
    <row r="76" spans="5:12">
      <c r="H76" s="1"/>
      <c r="J76" s="16" t="s">
        <v>351</v>
      </c>
      <c r="K76" s="17" t="s">
        <v>337</v>
      </c>
      <c r="L76" s="18"/>
    </row>
    <row r="77" spans="5:12">
      <c r="H77" s="1"/>
      <c r="J77" s="16">
        <v>1</v>
      </c>
      <c r="K77" s="14" t="s">
        <v>338</v>
      </c>
      <c r="L77" s="25">
        <f>SUMIF(K2:K62,1,D2:D62)</f>
        <v>1</v>
      </c>
    </row>
    <row r="78" spans="5:12" ht="25.5">
      <c r="E78" s="31" t="s">
        <v>328</v>
      </c>
      <c r="F78" s="31" t="s">
        <v>331</v>
      </c>
      <c r="G78" s="32">
        <f>SUMIFS(D2:D62,I2:I62,"&lt;30",G2:G62,"F")</f>
        <v>3</v>
      </c>
      <c r="H78" s="21"/>
      <c r="J78" s="16">
        <v>2</v>
      </c>
      <c r="K78" s="15" t="s">
        <v>339</v>
      </c>
      <c r="L78" s="25">
        <f>SUMIF(K2:K62,2,D2:D62)</f>
        <v>10</v>
      </c>
    </row>
    <row r="79" spans="5:12" ht="25.5">
      <c r="E79" s="37"/>
      <c r="F79" s="31" t="s">
        <v>332</v>
      </c>
      <c r="G79" s="32">
        <f>SUMIFS(D2:D62,I2:I62,"&lt;45",G2:G62,"F")-G78</f>
        <v>8</v>
      </c>
      <c r="H79" s="1"/>
      <c r="J79" s="16">
        <v>3</v>
      </c>
      <c r="K79" s="15" t="s">
        <v>340</v>
      </c>
      <c r="L79" s="25">
        <f>SUMIF(K2:K62,3,D2:D62)</f>
        <v>34</v>
      </c>
    </row>
    <row r="80" spans="5:12">
      <c r="E80" s="37"/>
      <c r="F80" s="31" t="s">
        <v>333</v>
      </c>
      <c r="G80" s="32">
        <f>SUMIFS(D2:D62,I2:I62,"&lt;60",G2:G62,"F")-SUM(G78:G79)</f>
        <v>15</v>
      </c>
      <c r="H80" s="1"/>
      <c r="J80" s="16">
        <v>4</v>
      </c>
      <c r="K80" s="15" t="s">
        <v>341</v>
      </c>
      <c r="L80" s="25">
        <f>SUMIF(K2:K62,4,D2:D62)</f>
        <v>6</v>
      </c>
    </row>
    <row r="81" spans="5:12">
      <c r="E81" s="37"/>
      <c r="F81" s="31" t="s">
        <v>334</v>
      </c>
      <c r="G81" s="32">
        <f>SUMIFS(D2:D62,I2:I62,"&lt;75",G2:G62,"F")-SUM(G78:G80)</f>
        <v>4</v>
      </c>
      <c r="H81" s="1"/>
      <c r="J81" s="16">
        <v>5</v>
      </c>
      <c r="K81" s="14" t="s">
        <v>342</v>
      </c>
      <c r="L81" s="25">
        <f>SUMIF(K2:K62,5,D2:D62)</f>
        <v>2</v>
      </c>
    </row>
    <row r="82" spans="5:12">
      <c r="E82" s="37"/>
      <c r="F82" s="31" t="s">
        <v>335</v>
      </c>
      <c r="G82" s="32">
        <f>SUMIFS(D2:D62,I2:I62,"&lt;90",G2:G62,"F")-SUM(G78:G81)</f>
        <v>0</v>
      </c>
      <c r="H82" s="1"/>
      <c r="J82" s="16">
        <v>6</v>
      </c>
      <c r="K82" s="14" t="s">
        <v>343</v>
      </c>
      <c r="L82" s="25">
        <f>SUMIF(K2:K62,6,D2:D62)</f>
        <v>0</v>
      </c>
    </row>
    <row r="83" spans="5:12">
      <c r="E83" s="38"/>
      <c r="F83" s="33" t="s">
        <v>336</v>
      </c>
      <c r="G83" s="34">
        <f>SUMIFS(D2:D62,I2:I62,"&gt;=90",G2:G62,"F")</f>
        <v>0</v>
      </c>
      <c r="H83" s="1"/>
      <c r="J83" s="16">
        <v>7</v>
      </c>
      <c r="K83" s="14" t="s">
        <v>344</v>
      </c>
      <c r="L83" s="25">
        <f>SUMIF(K2:K62,7,D2:D62)</f>
        <v>2</v>
      </c>
    </row>
    <row r="84" spans="5:12">
      <c r="E84" s="31" t="s">
        <v>329</v>
      </c>
      <c r="F84" s="31" t="s">
        <v>331</v>
      </c>
      <c r="G84" s="32">
        <f>SUMIFS(D2:D62,I2:I62,"&lt;30",G2:G62,"M")</f>
        <v>0</v>
      </c>
      <c r="H84" s="21"/>
      <c r="J84" s="16">
        <v>8</v>
      </c>
      <c r="K84" s="14" t="s">
        <v>345</v>
      </c>
      <c r="L84" s="25">
        <f>SUMIF(K2:K62,8,D2:D62)</f>
        <v>6</v>
      </c>
    </row>
    <row r="85" spans="5:12">
      <c r="E85" s="37"/>
      <c r="F85" s="31" t="s">
        <v>332</v>
      </c>
      <c r="G85" s="32">
        <f>SUMIFS(D2:D62,I2:I62,"&lt;40",G2:G62,"M")-G84</f>
        <v>5</v>
      </c>
      <c r="H85" s="1"/>
    </row>
    <row r="86" spans="5:12">
      <c r="E86" s="37"/>
      <c r="F86" s="31" t="s">
        <v>333</v>
      </c>
      <c r="G86" s="32">
        <f>SUMIFS(D2:D62,I2:I62,"&lt;60",G2:G62,"M")-SUM(G84:G85)</f>
        <v>14</v>
      </c>
      <c r="H86" s="1"/>
    </row>
    <row r="87" spans="5:12">
      <c r="E87" s="37"/>
      <c r="F87" s="31" t="s">
        <v>334</v>
      </c>
      <c r="G87" s="32">
        <f>SUMIFS(D2:D62,I2:I62,"&lt;70",G2:G62,"M")-SUM(G84:G86)</f>
        <v>11</v>
      </c>
      <c r="H87" s="1"/>
      <c r="J87" s="46" t="s">
        <v>358</v>
      </c>
      <c r="K87" s="15" t="s">
        <v>338</v>
      </c>
      <c r="L87" s="30">
        <f>SUMIFS(D2:D62,G2:G62,"F",K2:K62,"1")</f>
        <v>0</v>
      </c>
    </row>
    <row r="88" spans="5:12" ht="25.5">
      <c r="E88" s="37"/>
      <c r="F88" s="31" t="s">
        <v>335</v>
      </c>
      <c r="G88" s="32">
        <f>SUMIFS(D2:D62,I2:I62,"&lt;90",G2:G62,"M")-SUM(G84:G87)</f>
        <v>1</v>
      </c>
      <c r="H88" s="1"/>
      <c r="J88" s="47"/>
      <c r="K88" s="15" t="s">
        <v>339</v>
      </c>
      <c r="L88" s="30">
        <f>SUMIFS(D2:D62,G2:G62,"F",K2:K62,"2")</f>
        <v>1</v>
      </c>
    </row>
    <row r="89" spans="5:12" ht="25.5">
      <c r="E89" s="38"/>
      <c r="F89" s="33" t="s">
        <v>336</v>
      </c>
      <c r="G89" s="34">
        <f>SUMIFS(D2:D62,I2:I62,"&gt;=90",G2:G62,"M")</f>
        <v>0</v>
      </c>
      <c r="H89" s="1"/>
      <c r="J89" s="47"/>
      <c r="K89" s="15" t="s">
        <v>340</v>
      </c>
      <c r="L89" s="30">
        <f>SUMIFS(D2:D62,G2:G62,"F",K2:K62,"3")</f>
        <v>21</v>
      </c>
    </row>
    <row r="90" spans="5:12">
      <c r="H90" s="1"/>
      <c r="J90" s="47"/>
      <c r="K90" s="15" t="s">
        <v>341</v>
      </c>
      <c r="L90" s="30">
        <f>SUMIFS(D2:D62,G2:G62,"F",K2:K62,"4")</f>
        <v>3</v>
      </c>
    </row>
    <row r="91" spans="5:12">
      <c r="E91" s="54" t="s">
        <v>356</v>
      </c>
      <c r="F91" s="55"/>
      <c r="G91" s="39">
        <f>SUMIF(G2:G62,"F",I2:I62)/30</f>
        <v>48.033333333333331</v>
      </c>
      <c r="H91" s="1"/>
      <c r="J91" s="47"/>
      <c r="K91" s="15" t="s">
        <v>342</v>
      </c>
      <c r="L91" s="30">
        <f>SUMIFS(D2:D62,G2:G62,"F",K2:K62,"5")</f>
        <v>1</v>
      </c>
    </row>
    <row r="92" spans="5:12">
      <c r="E92" s="54" t="s">
        <v>357</v>
      </c>
      <c r="F92" s="55"/>
      <c r="G92" s="39">
        <f>SUMIF(G2:G62,"M",I2:I62)/31</f>
        <v>52.967741935483872</v>
      </c>
      <c r="H92" s="1"/>
      <c r="J92" s="47"/>
      <c r="K92" s="15" t="s">
        <v>343</v>
      </c>
      <c r="L92" s="30">
        <f>SUMIFS(D2:D62,G2:G62,"F",K2:K62,"6")</f>
        <v>0</v>
      </c>
    </row>
    <row r="93" spans="5:12">
      <c r="H93" s="1"/>
      <c r="J93" s="47"/>
      <c r="K93" s="15" t="s">
        <v>344</v>
      </c>
      <c r="L93" s="30">
        <f>SUMIFS(D2:D62,G2:G62,"F",K2:K62,"7")</f>
        <v>0</v>
      </c>
    </row>
    <row r="94" spans="5:12">
      <c r="H94" s="1"/>
      <c r="J94" s="48"/>
      <c r="K94" s="15" t="s">
        <v>345</v>
      </c>
      <c r="L94" s="30">
        <f>SUMIFS(D2:D62,G2:G62,"F",K2:K62,"8")</f>
        <v>4</v>
      </c>
    </row>
    <row r="95" spans="5:12">
      <c r="H95" s="1"/>
      <c r="J95" s="46" t="s">
        <v>359</v>
      </c>
      <c r="K95" s="15" t="s">
        <v>338</v>
      </c>
      <c r="L95" s="30">
        <f>SUMIFS(D2:D62,G2:G62,"M",K2:K62,"1")</f>
        <v>1</v>
      </c>
    </row>
    <row r="96" spans="5:12" ht="25.5">
      <c r="H96" s="1"/>
      <c r="J96" s="47"/>
      <c r="K96" s="15" t="s">
        <v>339</v>
      </c>
      <c r="L96" s="30">
        <f>SUMIFS(D2:D62,G2:G62,"M",K2:K62,"2")</f>
        <v>9</v>
      </c>
    </row>
    <row r="97" spans="8:12" ht="25.5">
      <c r="H97" s="1"/>
      <c r="J97" s="47"/>
      <c r="K97" s="15" t="s">
        <v>340</v>
      </c>
      <c r="L97" s="30">
        <f>SUMIFS(D2:D62,G2:G62,"M",K2:K62,"3")</f>
        <v>13</v>
      </c>
    </row>
    <row r="98" spans="8:12">
      <c r="H98" s="1"/>
      <c r="J98" s="47"/>
      <c r="K98" s="15" t="s">
        <v>341</v>
      </c>
      <c r="L98" s="30">
        <f>SUMIFS(D2:D62,G2:G62,"M",K2:K62,"4")</f>
        <v>3</v>
      </c>
    </row>
    <row r="99" spans="8:12">
      <c r="H99" s="1"/>
      <c r="J99" s="47"/>
      <c r="K99" s="15" t="s">
        <v>342</v>
      </c>
      <c r="L99" s="30">
        <f>SUMIFS(D2:D62,G2:G62,"M",K2:K62,"5")</f>
        <v>1</v>
      </c>
    </row>
    <row r="100" spans="8:12">
      <c r="H100" s="1"/>
      <c r="J100" s="47"/>
      <c r="K100" s="15" t="s">
        <v>343</v>
      </c>
      <c r="L100" s="30">
        <f>SUMIFS(D2:D62,G2:G62,"M",K2:K62,"6")</f>
        <v>0</v>
      </c>
    </row>
    <row r="101" spans="8:12">
      <c r="H101" s="1"/>
      <c r="J101" s="47"/>
      <c r="K101" s="15" t="s">
        <v>344</v>
      </c>
      <c r="L101" s="30">
        <f>SUMIFS(D2:D62,G2:G62,"M",K2:K62,"7")</f>
        <v>2</v>
      </c>
    </row>
    <row r="102" spans="8:12">
      <c r="H102" s="1"/>
      <c r="J102" s="48"/>
      <c r="K102" s="15" t="s">
        <v>345</v>
      </c>
      <c r="L102" s="30">
        <f>SUMIFS(D2:D62,G2:G62,"M",K2:K62,"8")</f>
        <v>2</v>
      </c>
    </row>
    <row r="103" spans="8:12">
      <c r="H103" s="1"/>
    </row>
    <row r="104" spans="8:12">
      <c r="H104" s="1"/>
    </row>
    <row r="105" spans="8:12">
      <c r="H105" s="1"/>
    </row>
    <row r="106" spans="8:12">
      <c r="H106" s="1"/>
    </row>
    <row r="107" spans="8:12">
      <c r="H107" s="1"/>
    </row>
    <row r="108" spans="8:12">
      <c r="H108" s="1"/>
    </row>
    <row r="109" spans="8:12">
      <c r="H109" s="1"/>
    </row>
    <row r="110" spans="8:12">
      <c r="H110" s="1"/>
    </row>
    <row r="111" spans="8:12">
      <c r="H111" s="1"/>
    </row>
    <row r="112" spans="8:12">
      <c r="H112" s="1"/>
    </row>
    <row r="113" spans="8:8">
      <c r="H113" s="1"/>
    </row>
    <row r="114" spans="8:8">
      <c r="H114" s="1"/>
    </row>
    <row r="115" spans="8:8">
      <c r="H115" s="1"/>
    </row>
    <row r="116" spans="8:8">
      <c r="H116" s="1"/>
    </row>
    <row r="117" spans="8:8">
      <c r="H117" s="1"/>
    </row>
    <row r="118" spans="8:8">
      <c r="H118" s="1"/>
    </row>
    <row r="119" spans="8:8">
      <c r="H119" s="1"/>
    </row>
    <row r="120" spans="8:8">
      <c r="H120" s="1"/>
    </row>
    <row r="121" spans="8:8">
      <c r="H121" s="1"/>
    </row>
    <row r="122" spans="8:8">
      <c r="H122" s="1"/>
    </row>
    <row r="123" spans="8:8">
      <c r="H123" s="1"/>
    </row>
    <row r="124" spans="8:8">
      <c r="H124" s="1"/>
    </row>
    <row r="125" spans="8:8">
      <c r="H125" s="1"/>
    </row>
    <row r="126" spans="8:8">
      <c r="H126" s="1"/>
    </row>
    <row r="127" spans="8:8">
      <c r="H127" s="1"/>
    </row>
    <row r="128" spans="8:8">
      <c r="H128" s="1"/>
    </row>
    <row r="129" spans="8:8">
      <c r="H129" s="1"/>
    </row>
    <row r="130" spans="8:8">
      <c r="H130" s="1"/>
    </row>
    <row r="131" spans="8:8">
      <c r="H131" s="1"/>
    </row>
    <row r="132" spans="8:8">
      <c r="H132" s="1"/>
    </row>
    <row r="133" spans="8:8">
      <c r="H133" s="1"/>
    </row>
    <row r="134" spans="8:8">
      <c r="H134" s="1"/>
    </row>
    <row r="135" spans="8:8">
      <c r="H135" s="1"/>
    </row>
    <row r="136" spans="8:8">
      <c r="H136" s="1"/>
    </row>
    <row r="137" spans="8:8">
      <c r="H137" s="1"/>
    </row>
    <row r="138" spans="8:8">
      <c r="H138" s="1"/>
    </row>
    <row r="139" spans="8:8">
      <c r="H139" s="1"/>
    </row>
    <row r="140" spans="8:8">
      <c r="H140" s="1"/>
    </row>
    <row r="141" spans="8:8">
      <c r="H141" s="1"/>
    </row>
    <row r="142" spans="8:8">
      <c r="H142" s="1"/>
    </row>
    <row r="143" spans="8:8">
      <c r="H143" s="1"/>
    </row>
    <row r="144" spans="8:8">
      <c r="H144" s="1"/>
    </row>
    <row r="145" spans="8:8">
      <c r="H145" s="1"/>
    </row>
    <row r="146" spans="8:8">
      <c r="H146" s="1"/>
    </row>
    <row r="147" spans="8:8">
      <c r="H147" s="1"/>
    </row>
    <row r="148" spans="8:8">
      <c r="H148" s="1"/>
    </row>
    <row r="149" spans="8:8">
      <c r="H149" s="1"/>
    </row>
    <row r="150" spans="8:8">
      <c r="H150" s="1"/>
    </row>
    <row r="151" spans="8:8">
      <c r="H151" s="1"/>
    </row>
    <row r="152" spans="8:8">
      <c r="H152" s="1"/>
    </row>
    <row r="153" spans="8:8">
      <c r="H153" s="1"/>
    </row>
    <row r="154" spans="8:8">
      <c r="H154" s="1"/>
    </row>
    <row r="155" spans="8:8">
      <c r="H155" s="1"/>
    </row>
    <row r="156" spans="8:8">
      <c r="H156" s="1"/>
    </row>
    <row r="157" spans="8:8">
      <c r="H157" s="1"/>
    </row>
    <row r="158" spans="8:8">
      <c r="H158" s="1"/>
    </row>
    <row r="159" spans="8:8">
      <c r="H159" s="1"/>
    </row>
    <row r="160" spans="8:8">
      <c r="H160" s="1"/>
    </row>
    <row r="161" spans="8:8">
      <c r="H161" s="1"/>
    </row>
    <row r="162" spans="8:8">
      <c r="H162" s="1"/>
    </row>
    <row r="163" spans="8:8">
      <c r="H163" s="1"/>
    </row>
    <row r="164" spans="8:8">
      <c r="H164" s="1"/>
    </row>
    <row r="165" spans="8:8">
      <c r="H165" s="1"/>
    </row>
    <row r="166" spans="8:8">
      <c r="H166" s="1"/>
    </row>
    <row r="167" spans="8:8">
      <c r="H167" s="1"/>
    </row>
    <row r="168" spans="8:8">
      <c r="H168" s="1"/>
    </row>
    <row r="169" spans="8:8">
      <c r="H169" s="1"/>
    </row>
    <row r="170" spans="8:8">
      <c r="H170" s="1"/>
    </row>
    <row r="171" spans="8:8">
      <c r="H171" s="1"/>
    </row>
    <row r="172" spans="8:8">
      <c r="H172" s="1"/>
    </row>
    <row r="173" spans="8:8">
      <c r="H173" s="1"/>
    </row>
    <row r="174" spans="8:8">
      <c r="H174" s="1"/>
    </row>
    <row r="175" spans="8:8">
      <c r="H175" s="1"/>
    </row>
    <row r="176" spans="8:8">
      <c r="H176" s="1"/>
    </row>
    <row r="177" spans="8:8">
      <c r="H177" s="1"/>
    </row>
    <row r="178" spans="8:8">
      <c r="H178" s="1"/>
    </row>
    <row r="179" spans="8:8">
      <c r="H179" s="1"/>
    </row>
    <row r="180" spans="8:8">
      <c r="H180" s="1"/>
    </row>
    <row r="181" spans="8:8">
      <c r="H181" s="1"/>
    </row>
    <row r="182" spans="8:8">
      <c r="H182" s="1"/>
    </row>
    <row r="183" spans="8:8">
      <c r="H183" s="1"/>
    </row>
    <row r="184" spans="8:8">
      <c r="H184" s="1"/>
    </row>
    <row r="185" spans="8:8">
      <c r="H185" s="1"/>
    </row>
    <row r="186" spans="8:8">
      <c r="H186" s="1"/>
    </row>
    <row r="187" spans="8:8">
      <c r="H187" s="1"/>
    </row>
    <row r="188" spans="8:8">
      <c r="H188" s="1"/>
    </row>
    <row r="189" spans="8:8">
      <c r="H189" s="1"/>
    </row>
    <row r="190" spans="8:8">
      <c r="H190" s="1"/>
    </row>
    <row r="191" spans="8:8">
      <c r="H191" s="1"/>
    </row>
    <row r="192" spans="8:8">
      <c r="H192" s="1"/>
    </row>
    <row r="193" spans="8:8">
      <c r="H193" s="1"/>
    </row>
    <row r="194" spans="8:8">
      <c r="H194" s="1"/>
    </row>
    <row r="195" spans="8:8">
      <c r="H195" s="1"/>
    </row>
    <row r="196" spans="8:8">
      <c r="H196" s="1"/>
    </row>
    <row r="197" spans="8:8">
      <c r="H197" s="1"/>
    </row>
    <row r="198" spans="8:8">
      <c r="H198" s="1"/>
    </row>
    <row r="199" spans="8:8">
      <c r="H199" s="1"/>
    </row>
    <row r="200" spans="8:8">
      <c r="H200" s="1"/>
    </row>
    <row r="201" spans="8:8">
      <c r="H201" s="1"/>
    </row>
    <row r="202" spans="8:8">
      <c r="H202" s="1"/>
    </row>
    <row r="203" spans="8:8">
      <c r="H203" s="1"/>
    </row>
    <row r="204" spans="8:8">
      <c r="H204" s="1"/>
    </row>
    <row r="205" spans="8:8">
      <c r="H205" s="1"/>
    </row>
    <row r="206" spans="8:8">
      <c r="H206" s="1"/>
    </row>
    <row r="207" spans="8:8">
      <c r="H207" s="1"/>
    </row>
    <row r="208" spans="8:8">
      <c r="H208" s="1"/>
    </row>
    <row r="209" spans="8:8">
      <c r="H209" s="1"/>
    </row>
    <row r="210" spans="8:8">
      <c r="H210" s="1"/>
    </row>
    <row r="211" spans="8:8">
      <c r="H211" s="1"/>
    </row>
    <row r="212" spans="8:8">
      <c r="H212" s="1"/>
    </row>
    <row r="213" spans="8:8">
      <c r="H213" s="1"/>
    </row>
    <row r="214" spans="8:8">
      <c r="H214" s="1"/>
    </row>
    <row r="215" spans="8:8">
      <c r="H215" s="1"/>
    </row>
    <row r="216" spans="8:8">
      <c r="H216" s="1"/>
    </row>
    <row r="217" spans="8:8">
      <c r="H217" s="1"/>
    </row>
    <row r="218" spans="8:8">
      <c r="H218" s="1"/>
    </row>
    <row r="219" spans="8:8">
      <c r="H219" s="1"/>
    </row>
    <row r="220" spans="8:8">
      <c r="H220" s="1"/>
    </row>
    <row r="221" spans="8:8">
      <c r="H221" s="1"/>
    </row>
    <row r="222" spans="8:8">
      <c r="H222" s="1"/>
    </row>
    <row r="223" spans="8:8">
      <c r="H223" s="1"/>
    </row>
    <row r="224" spans="8:8">
      <c r="H224" s="1"/>
    </row>
    <row r="225" spans="8:8">
      <c r="H225" s="1"/>
    </row>
    <row r="226" spans="8:8">
      <c r="H226" s="1"/>
    </row>
    <row r="227" spans="8:8">
      <c r="H227" s="1"/>
    </row>
    <row r="228" spans="8:8">
      <c r="H228" s="1"/>
    </row>
    <row r="229" spans="8:8">
      <c r="H229" s="1"/>
    </row>
    <row r="230" spans="8:8">
      <c r="H230" s="1"/>
    </row>
    <row r="231" spans="8:8">
      <c r="H231" s="1"/>
    </row>
    <row r="232" spans="8:8">
      <c r="H232" s="1"/>
    </row>
    <row r="233" spans="8:8">
      <c r="H233" s="1"/>
    </row>
    <row r="234" spans="8:8">
      <c r="H234" s="1"/>
    </row>
    <row r="235" spans="8:8">
      <c r="H235" s="1"/>
    </row>
    <row r="236" spans="8:8">
      <c r="H236" s="1"/>
    </row>
    <row r="237" spans="8:8">
      <c r="H237" s="1"/>
    </row>
    <row r="238" spans="8:8">
      <c r="H238" s="1"/>
    </row>
    <row r="239" spans="8:8">
      <c r="H239" s="1"/>
    </row>
    <row r="240" spans="8:8">
      <c r="H240" s="1"/>
    </row>
    <row r="241" spans="8:8">
      <c r="H241" s="1"/>
    </row>
    <row r="242" spans="8:8">
      <c r="H242" s="1"/>
    </row>
    <row r="243" spans="8:8">
      <c r="H243" s="1"/>
    </row>
    <row r="244" spans="8:8">
      <c r="H244" s="1"/>
    </row>
    <row r="245" spans="8:8">
      <c r="H245" s="1"/>
    </row>
    <row r="246" spans="8:8">
      <c r="H246" s="1"/>
    </row>
    <row r="247" spans="8:8">
      <c r="H247" s="1"/>
    </row>
    <row r="248" spans="8:8">
      <c r="H248" s="1"/>
    </row>
    <row r="249" spans="8:8">
      <c r="H249" s="1"/>
    </row>
    <row r="250" spans="8:8">
      <c r="H250" s="1"/>
    </row>
    <row r="251" spans="8:8">
      <c r="H251" s="1"/>
    </row>
    <row r="252" spans="8:8">
      <c r="H252" s="1"/>
    </row>
    <row r="253" spans="8:8">
      <c r="H253" s="1"/>
    </row>
    <row r="254" spans="8:8">
      <c r="H254" s="1"/>
    </row>
    <row r="255" spans="8:8">
      <c r="H255" s="1"/>
    </row>
    <row r="256" spans="8:8">
      <c r="H256" s="1"/>
    </row>
    <row r="257" spans="8:8">
      <c r="H257" s="1"/>
    </row>
    <row r="258" spans="8:8">
      <c r="H258" s="1"/>
    </row>
    <row r="259" spans="8:8">
      <c r="H259" s="1"/>
    </row>
    <row r="260" spans="8:8">
      <c r="H260" s="1"/>
    </row>
    <row r="261" spans="8:8">
      <c r="H261" s="1"/>
    </row>
    <row r="262" spans="8:8">
      <c r="H262" s="1"/>
    </row>
    <row r="263" spans="8:8">
      <c r="H263" s="1"/>
    </row>
    <row r="264" spans="8:8">
      <c r="H264" s="1"/>
    </row>
    <row r="265" spans="8:8">
      <c r="H265" s="1"/>
    </row>
    <row r="266" spans="8:8">
      <c r="H266" s="1"/>
    </row>
    <row r="267" spans="8:8">
      <c r="H267" s="1"/>
    </row>
    <row r="268" spans="8:8">
      <c r="H268" s="1"/>
    </row>
    <row r="269" spans="8:8">
      <c r="H269" s="1"/>
    </row>
    <row r="270" spans="8:8">
      <c r="H270" s="1"/>
    </row>
    <row r="271" spans="8:8">
      <c r="H271" s="1"/>
    </row>
    <row r="272" spans="8:8">
      <c r="H272" s="1"/>
    </row>
    <row r="273" spans="8:8">
      <c r="H273" s="1"/>
    </row>
    <row r="274" spans="8:8">
      <c r="H274" s="1"/>
    </row>
    <row r="275" spans="8:8">
      <c r="H275" s="1"/>
    </row>
    <row r="276" spans="8:8">
      <c r="H276" s="1"/>
    </row>
    <row r="277" spans="8:8">
      <c r="H277" s="1"/>
    </row>
    <row r="278" spans="8:8">
      <c r="H278" s="1"/>
    </row>
    <row r="279" spans="8:8">
      <c r="H279" s="1"/>
    </row>
    <row r="280" spans="8:8">
      <c r="H280" s="1"/>
    </row>
    <row r="281" spans="8:8">
      <c r="H281" s="1"/>
    </row>
    <row r="282" spans="8:8">
      <c r="H282" s="1"/>
    </row>
    <row r="283" spans="8:8">
      <c r="H283" s="1"/>
    </row>
    <row r="284" spans="8:8">
      <c r="H284" s="1"/>
    </row>
    <row r="285" spans="8:8">
      <c r="H285" s="1"/>
    </row>
    <row r="286" spans="8:8">
      <c r="H286" s="1"/>
    </row>
    <row r="287" spans="8:8">
      <c r="H287" s="1"/>
    </row>
    <row r="288" spans="8:8">
      <c r="H288" s="1"/>
    </row>
    <row r="289" spans="8:8">
      <c r="H289" s="1"/>
    </row>
    <row r="290" spans="8:8">
      <c r="H290" s="1"/>
    </row>
    <row r="291" spans="8:8">
      <c r="H291" s="1"/>
    </row>
    <row r="292" spans="8:8">
      <c r="H292" s="1"/>
    </row>
    <row r="293" spans="8:8">
      <c r="H293" s="1"/>
    </row>
    <row r="294" spans="8:8">
      <c r="H294" s="1"/>
    </row>
    <row r="295" spans="8:8">
      <c r="H295" s="1"/>
    </row>
    <row r="296" spans="8:8">
      <c r="H296" s="1"/>
    </row>
    <row r="297" spans="8:8">
      <c r="H297" s="1"/>
    </row>
    <row r="298" spans="8:8">
      <c r="H298" s="1"/>
    </row>
    <row r="299" spans="8:8">
      <c r="H299" s="1"/>
    </row>
    <row r="300" spans="8:8">
      <c r="H300" s="1"/>
    </row>
    <row r="301" spans="8:8">
      <c r="H301" s="1"/>
    </row>
    <row r="302" spans="8:8">
      <c r="H302" s="1"/>
    </row>
    <row r="303" spans="8:8">
      <c r="H303" s="1"/>
    </row>
    <row r="304" spans="8:8">
      <c r="H304" s="1"/>
    </row>
    <row r="305" spans="8:8">
      <c r="H305" s="1"/>
    </row>
    <row r="306" spans="8:8">
      <c r="H306" s="1"/>
    </row>
    <row r="307" spans="8:8">
      <c r="H307" s="1"/>
    </row>
    <row r="308" spans="8:8">
      <c r="H308" s="1"/>
    </row>
    <row r="309" spans="8:8">
      <c r="H309" s="1"/>
    </row>
    <row r="310" spans="8:8">
      <c r="H310" s="1"/>
    </row>
    <row r="311" spans="8:8">
      <c r="H311" s="1"/>
    </row>
    <row r="312" spans="8:8">
      <c r="H312" s="1"/>
    </row>
    <row r="313" spans="8:8">
      <c r="H313" s="1"/>
    </row>
    <row r="314" spans="8:8">
      <c r="H314" s="1"/>
    </row>
    <row r="315" spans="8:8">
      <c r="H315" s="1"/>
    </row>
    <row r="316" spans="8:8">
      <c r="H316" s="1"/>
    </row>
    <row r="317" spans="8:8">
      <c r="H317" s="1"/>
    </row>
    <row r="318" spans="8:8">
      <c r="H318" s="1"/>
    </row>
    <row r="319" spans="8:8">
      <c r="H319" s="1"/>
    </row>
    <row r="320" spans="8:8">
      <c r="H320" s="1"/>
    </row>
    <row r="321" spans="8:8">
      <c r="H321" s="1"/>
    </row>
    <row r="322" spans="8:8">
      <c r="H322" s="1"/>
    </row>
    <row r="323" spans="8:8">
      <c r="H323" s="1"/>
    </row>
    <row r="324" spans="8:8">
      <c r="H324" s="1"/>
    </row>
    <row r="325" spans="8:8">
      <c r="H325" s="1"/>
    </row>
    <row r="326" spans="8:8">
      <c r="H326" s="1"/>
    </row>
    <row r="327" spans="8:8">
      <c r="H327" s="1"/>
    </row>
    <row r="328" spans="8:8">
      <c r="H328" s="1"/>
    </row>
    <row r="329" spans="8:8">
      <c r="H329" s="1"/>
    </row>
    <row r="330" spans="8:8">
      <c r="H330" s="1"/>
    </row>
    <row r="331" spans="8:8">
      <c r="H331" s="1"/>
    </row>
    <row r="332" spans="8:8">
      <c r="H332" s="1"/>
    </row>
    <row r="333" spans="8:8">
      <c r="H333" s="1"/>
    </row>
    <row r="334" spans="8:8">
      <c r="H334" s="1"/>
    </row>
    <row r="335" spans="8:8">
      <c r="H335" s="1"/>
    </row>
    <row r="336" spans="8:8">
      <c r="H336" s="1"/>
    </row>
    <row r="337" spans="8:8">
      <c r="H337" s="1"/>
    </row>
    <row r="338" spans="8:8">
      <c r="H338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353" spans="8:8">
      <c r="H353" s="1"/>
    </row>
    <row r="354" spans="8:8">
      <c r="H354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382" spans="8:8">
      <c r="H382" s="1"/>
    </row>
    <row r="383" spans="8:8">
      <c r="H383" s="1"/>
    </row>
    <row r="384" spans="8:8">
      <c r="H384" s="1"/>
    </row>
    <row r="385" spans="8:8">
      <c r="H385" s="1"/>
    </row>
    <row r="386" spans="8:8">
      <c r="H386" s="1"/>
    </row>
    <row r="387" spans="8:8">
      <c r="H387" s="1"/>
    </row>
    <row r="388" spans="8:8">
      <c r="H388" s="1"/>
    </row>
    <row r="389" spans="8:8">
      <c r="H389" s="1"/>
    </row>
    <row r="390" spans="8:8">
      <c r="H390" s="1"/>
    </row>
    <row r="391" spans="8:8">
      <c r="H391" s="1"/>
    </row>
    <row r="392" spans="8:8">
      <c r="H392" s="1"/>
    </row>
    <row r="393" spans="8:8">
      <c r="H393" s="1"/>
    </row>
    <row r="394" spans="8:8">
      <c r="H394" s="1"/>
    </row>
    <row r="395" spans="8:8">
      <c r="H395" s="1"/>
    </row>
    <row r="396" spans="8:8">
      <c r="H396" s="1"/>
    </row>
    <row r="397" spans="8:8">
      <c r="H397" s="1"/>
    </row>
    <row r="398" spans="8:8">
      <c r="H398" s="1"/>
    </row>
    <row r="399" spans="8:8">
      <c r="H399" s="1"/>
    </row>
    <row r="400" spans="8:8">
      <c r="H400" s="1"/>
    </row>
    <row r="401" spans="8:8">
      <c r="H401" s="1"/>
    </row>
    <row r="402" spans="8:8">
      <c r="H402" s="1"/>
    </row>
    <row r="403" spans="8:8">
      <c r="H403" s="1"/>
    </row>
    <row r="404" spans="8:8">
      <c r="H404" s="1"/>
    </row>
    <row r="405" spans="8:8">
      <c r="H405" s="1"/>
    </row>
    <row r="406" spans="8:8">
      <c r="H406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</sheetData>
  <autoFilter ref="G1:G62"/>
  <sortState ref="A2:K62">
    <sortCondition ref="C16"/>
  </sortState>
  <mergeCells count="7">
    <mergeCell ref="J95:J102"/>
    <mergeCell ref="K66:L66"/>
    <mergeCell ref="H68:I68"/>
    <mergeCell ref="F64:G64"/>
    <mergeCell ref="E91:F91"/>
    <mergeCell ref="E92:F92"/>
    <mergeCell ref="J87:J94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1"/>
  <sheetViews>
    <sheetView topLeftCell="A15" workbookViewId="0">
      <selection activeCell="H15" sqref="H15"/>
    </sheetView>
  </sheetViews>
  <sheetFormatPr baseColWidth="10" defaultRowHeight="12.75"/>
  <cols>
    <col min="1" max="1" width="20.5703125" bestFit="1" customWidth="1"/>
    <col min="4" max="4" width="11.140625" bestFit="1" customWidth="1"/>
    <col min="5" max="5" width="15" bestFit="1" customWidth="1"/>
    <col min="6" max="6" width="11.5703125" bestFit="1" customWidth="1"/>
    <col min="8" max="8" width="20.5703125" bestFit="1" customWidth="1"/>
    <col min="10" max="10" width="13.42578125" bestFit="1" customWidth="1"/>
    <col min="12" max="12" width="15" bestFit="1" customWidth="1"/>
    <col min="33" max="33" width="15.140625" customWidth="1"/>
    <col min="34" max="34" width="15" customWidth="1"/>
  </cols>
  <sheetData>
    <row r="1" spans="1:85" ht="15">
      <c r="A1" s="59" t="s">
        <v>154</v>
      </c>
      <c r="B1" s="59"/>
      <c r="C1" s="59"/>
      <c r="D1" s="59"/>
      <c r="E1" s="59"/>
      <c r="F1" s="59"/>
      <c r="G1" s="59"/>
    </row>
    <row r="2" spans="1:85">
      <c r="A2" s="60" t="s">
        <v>155</v>
      </c>
      <c r="B2" s="60"/>
      <c r="C2" s="60"/>
      <c r="D2" s="60"/>
      <c r="E2" s="60"/>
      <c r="F2" s="60"/>
      <c r="G2" s="60"/>
    </row>
    <row r="3" spans="1:85">
      <c r="A3" s="61" t="s">
        <v>156</v>
      </c>
      <c r="B3" s="61"/>
      <c r="C3" s="61"/>
      <c r="D3" s="61"/>
      <c r="E3" s="61"/>
      <c r="F3" s="61"/>
      <c r="G3" s="61"/>
    </row>
    <row r="4" spans="1:85">
      <c r="A4" s="62" t="s">
        <v>157</v>
      </c>
      <c r="B4" s="62"/>
      <c r="C4" s="62"/>
      <c r="D4" s="62"/>
      <c r="E4" s="62"/>
      <c r="F4" s="62"/>
      <c r="G4" s="62"/>
    </row>
    <row r="5" spans="1:85" s="9" customFormat="1" ht="57.6" customHeight="1">
      <c r="A5" s="8" t="s">
        <v>158</v>
      </c>
      <c r="B5" s="8" t="s">
        <v>159</v>
      </c>
      <c r="C5" s="8" t="s">
        <v>160</v>
      </c>
      <c r="D5" s="8" t="s">
        <v>161</v>
      </c>
      <c r="E5" s="8" t="s">
        <v>162</v>
      </c>
      <c r="F5" s="8" t="s">
        <v>163</v>
      </c>
      <c r="G5" s="8" t="s">
        <v>164</v>
      </c>
      <c r="H5" s="8" t="s">
        <v>165</v>
      </c>
      <c r="I5" s="8" t="s">
        <v>166</v>
      </c>
      <c r="J5" s="8" t="s">
        <v>167</v>
      </c>
      <c r="K5" s="8" t="s">
        <v>168</v>
      </c>
      <c r="L5" s="8" t="s">
        <v>169</v>
      </c>
      <c r="M5" s="8" t="s">
        <v>170</v>
      </c>
      <c r="N5" s="8" t="s">
        <v>171</v>
      </c>
      <c r="O5" s="8" t="s">
        <v>172</v>
      </c>
      <c r="P5" s="8" t="s">
        <v>173</v>
      </c>
      <c r="Q5" s="8" t="s">
        <v>174</v>
      </c>
      <c r="R5" s="8" t="s">
        <v>175</v>
      </c>
      <c r="S5" s="8" t="s">
        <v>176</v>
      </c>
      <c r="T5" s="8" t="s">
        <v>177</v>
      </c>
      <c r="U5" s="8" t="s">
        <v>178</v>
      </c>
      <c r="V5" s="8" t="s">
        <v>179</v>
      </c>
      <c r="W5" s="8" t="s">
        <v>180</v>
      </c>
      <c r="X5" s="8" t="s">
        <v>181</v>
      </c>
      <c r="Y5" s="8" t="s">
        <v>182</v>
      </c>
      <c r="Z5" s="8" t="s">
        <v>183</v>
      </c>
      <c r="AA5" s="8" t="s">
        <v>184</v>
      </c>
      <c r="AB5" s="8" t="s">
        <v>185</v>
      </c>
      <c r="AC5" s="8" t="s">
        <v>186</v>
      </c>
      <c r="AD5" s="8" t="s">
        <v>187</v>
      </c>
      <c r="AE5" s="8" t="s">
        <v>188</v>
      </c>
      <c r="AF5" s="8" t="s">
        <v>189</v>
      </c>
      <c r="AG5" s="8" t="s">
        <v>190</v>
      </c>
      <c r="AH5" s="8" t="s">
        <v>191</v>
      </c>
      <c r="AI5" s="8" t="s">
        <v>192</v>
      </c>
      <c r="AJ5" s="8" t="s">
        <v>193</v>
      </c>
      <c r="AK5" s="8" t="s">
        <v>194</v>
      </c>
      <c r="AL5" s="8" t="s">
        <v>195</v>
      </c>
      <c r="AM5" s="8" t="s">
        <v>196</v>
      </c>
      <c r="AN5" s="8" t="s">
        <v>197</v>
      </c>
      <c r="AO5" s="8" t="s">
        <v>198</v>
      </c>
      <c r="AP5" s="8" t="s">
        <v>199</v>
      </c>
      <c r="AQ5" s="8" t="s">
        <v>200</v>
      </c>
      <c r="AR5" s="8" t="s">
        <v>201</v>
      </c>
      <c r="AS5" s="8" t="s">
        <v>202</v>
      </c>
      <c r="AT5" s="8" t="s">
        <v>203</v>
      </c>
      <c r="AU5" s="8" t="s">
        <v>204</v>
      </c>
      <c r="AV5" s="8" t="s">
        <v>205</v>
      </c>
      <c r="AW5" s="8" t="s">
        <v>206</v>
      </c>
      <c r="AX5" s="8" t="s">
        <v>207</v>
      </c>
      <c r="AY5" s="8" t="s">
        <v>208</v>
      </c>
      <c r="AZ5" s="8" t="s">
        <v>209</v>
      </c>
      <c r="BA5" s="8" t="s">
        <v>210</v>
      </c>
      <c r="BB5" s="8" t="s">
        <v>211</v>
      </c>
      <c r="BC5" s="8" t="s">
        <v>212</v>
      </c>
      <c r="BD5" s="8" t="s">
        <v>213</v>
      </c>
      <c r="BE5" s="8" t="s">
        <v>214</v>
      </c>
      <c r="BF5" s="8" t="s">
        <v>215</v>
      </c>
      <c r="BG5" s="8" t="s">
        <v>216</v>
      </c>
      <c r="BH5" s="8" t="s">
        <v>217</v>
      </c>
      <c r="BI5" s="8" t="s">
        <v>218</v>
      </c>
      <c r="BJ5" s="8" t="s">
        <v>219</v>
      </c>
      <c r="BK5" s="8" t="s">
        <v>220</v>
      </c>
      <c r="BL5" s="8" t="s">
        <v>221</v>
      </c>
      <c r="BM5" s="8" t="s">
        <v>222</v>
      </c>
      <c r="BN5" s="8" t="s">
        <v>223</v>
      </c>
      <c r="BO5" s="8" t="s">
        <v>224</v>
      </c>
      <c r="BP5" s="8" t="s">
        <v>225</v>
      </c>
      <c r="BQ5" s="8" t="s">
        <v>226</v>
      </c>
      <c r="BR5" s="8" t="s">
        <v>227</v>
      </c>
      <c r="BS5" s="8" t="s">
        <v>228</v>
      </c>
      <c r="BT5" s="8" t="s">
        <v>229</v>
      </c>
      <c r="BU5" s="8" t="s">
        <v>230</v>
      </c>
      <c r="BV5" s="8" t="s">
        <v>231</v>
      </c>
      <c r="BW5" s="8" t="s">
        <v>232</v>
      </c>
      <c r="BX5" s="8" t="s">
        <v>233</v>
      </c>
      <c r="BY5" s="8" t="s">
        <v>234</v>
      </c>
      <c r="BZ5" s="8" t="s">
        <v>235</v>
      </c>
      <c r="CA5" s="8" t="s">
        <v>236</v>
      </c>
      <c r="CB5" s="8" t="s">
        <v>237</v>
      </c>
      <c r="CC5" s="8" t="s">
        <v>238</v>
      </c>
      <c r="CD5" s="8" t="s">
        <v>239</v>
      </c>
      <c r="CE5" s="8" t="s">
        <v>240</v>
      </c>
      <c r="CF5" s="8" t="s">
        <v>241</v>
      </c>
      <c r="CG5" s="8" t="s">
        <v>242</v>
      </c>
    </row>
    <row r="6" spans="1:85">
      <c r="A6" s="6" t="s">
        <v>243</v>
      </c>
      <c r="B6" s="7" t="s">
        <v>244</v>
      </c>
      <c r="C6" s="7" t="s">
        <v>245</v>
      </c>
      <c r="D6" s="7" t="s">
        <v>246</v>
      </c>
      <c r="E6" s="7" t="s">
        <v>247</v>
      </c>
      <c r="F6" s="7" t="s">
        <v>248</v>
      </c>
      <c r="G6" s="7" t="s">
        <v>249</v>
      </c>
      <c r="H6" s="7" t="s">
        <v>250</v>
      </c>
      <c r="I6" s="7" t="s">
        <v>251</v>
      </c>
      <c r="J6" s="7" t="s">
        <v>252</v>
      </c>
      <c r="K6" s="7" t="s">
        <v>253</v>
      </c>
      <c r="L6" s="7" t="s">
        <v>254</v>
      </c>
      <c r="M6" s="7" t="s">
        <v>255</v>
      </c>
      <c r="N6" s="7" t="s">
        <v>256</v>
      </c>
      <c r="O6" s="7" t="s">
        <v>257</v>
      </c>
      <c r="P6" s="7" t="s">
        <v>258</v>
      </c>
      <c r="Q6" s="7" t="s">
        <v>259</v>
      </c>
      <c r="R6" s="7" t="s">
        <v>260</v>
      </c>
      <c r="S6" s="7" t="s">
        <v>261</v>
      </c>
      <c r="T6" s="7" t="s">
        <v>262</v>
      </c>
      <c r="U6" s="7" t="s">
        <v>263</v>
      </c>
      <c r="V6" s="7" t="s">
        <v>264</v>
      </c>
      <c r="W6" s="7" t="s">
        <v>265</v>
      </c>
      <c r="X6" s="7" t="s">
        <v>266</v>
      </c>
      <c r="Y6" s="7" t="s">
        <v>267</v>
      </c>
      <c r="Z6" s="7" t="s">
        <v>268</v>
      </c>
      <c r="AA6" s="7" t="s">
        <v>269</v>
      </c>
      <c r="AB6" s="7" t="s">
        <v>270</v>
      </c>
      <c r="AC6" s="7" t="s">
        <v>271</v>
      </c>
      <c r="AD6" s="7" t="s">
        <v>272</v>
      </c>
      <c r="AE6" s="7" t="s">
        <v>273</v>
      </c>
      <c r="AF6" s="7" t="s">
        <v>274</v>
      </c>
      <c r="AG6" s="7" t="s">
        <v>275</v>
      </c>
      <c r="AH6" s="7" t="s">
        <v>276</v>
      </c>
      <c r="AI6" s="7" t="s">
        <v>277</v>
      </c>
      <c r="AJ6" s="7" t="s">
        <v>278</v>
      </c>
      <c r="AK6" s="7" t="s">
        <v>279</v>
      </c>
      <c r="AL6" s="7" t="s">
        <v>280</v>
      </c>
      <c r="AM6" s="7" t="s">
        <v>281</v>
      </c>
      <c r="AN6" s="7" t="s">
        <v>282</v>
      </c>
      <c r="AO6" s="7" t="s">
        <v>283</v>
      </c>
      <c r="AP6" s="7" t="s">
        <v>284</v>
      </c>
      <c r="AQ6" s="7" t="s">
        <v>285</v>
      </c>
      <c r="AR6" s="7" t="s">
        <v>286</v>
      </c>
      <c r="AS6" s="7" t="s">
        <v>287</v>
      </c>
      <c r="AT6" s="7" t="s">
        <v>288</v>
      </c>
      <c r="AU6" s="7" t="s">
        <v>289</v>
      </c>
      <c r="AV6" s="7" t="s">
        <v>290</v>
      </c>
      <c r="AW6" s="7" t="s">
        <v>291</v>
      </c>
      <c r="AX6" s="7" t="s">
        <v>292</v>
      </c>
      <c r="AY6" s="7" t="s">
        <v>293</v>
      </c>
      <c r="AZ6" s="7" t="s">
        <v>294</v>
      </c>
      <c r="BA6" s="7" t="s">
        <v>295</v>
      </c>
      <c r="BB6" s="7" t="s">
        <v>296</v>
      </c>
      <c r="BC6" s="7" t="s">
        <v>297</v>
      </c>
      <c r="BD6" s="7" t="s">
        <v>298</v>
      </c>
      <c r="BE6" s="7" t="s">
        <v>299</v>
      </c>
      <c r="BF6" s="7" t="s">
        <v>300</v>
      </c>
      <c r="BG6" s="7" t="s">
        <v>301</v>
      </c>
      <c r="BH6" s="7" t="s">
        <v>302</v>
      </c>
      <c r="BI6" s="7" t="s">
        <v>303</v>
      </c>
      <c r="BJ6" s="7" t="s">
        <v>304</v>
      </c>
      <c r="BK6" s="7" t="s">
        <v>305</v>
      </c>
      <c r="BL6" s="7" t="s">
        <v>306</v>
      </c>
      <c r="BM6" s="7" t="s">
        <v>307</v>
      </c>
      <c r="BN6" s="7" t="s">
        <v>308</v>
      </c>
      <c r="BO6" s="7" t="s">
        <v>309</v>
      </c>
      <c r="BP6" s="7" t="s">
        <v>310</v>
      </c>
      <c r="BQ6" s="7" t="s">
        <v>311</v>
      </c>
      <c r="BR6" s="7" t="s">
        <v>312</v>
      </c>
      <c r="BS6" s="7" t="s">
        <v>313</v>
      </c>
      <c r="BT6" s="7" t="s">
        <v>314</v>
      </c>
      <c r="BU6" s="7" t="s">
        <v>315</v>
      </c>
      <c r="BV6" s="7" t="s">
        <v>316</v>
      </c>
      <c r="BW6" s="7" t="s">
        <v>317</v>
      </c>
      <c r="BX6" s="7" t="s">
        <v>318</v>
      </c>
      <c r="BY6" s="7" t="s">
        <v>319</v>
      </c>
      <c r="BZ6" s="7" t="s">
        <v>320</v>
      </c>
      <c r="CA6" s="7" t="s">
        <v>321</v>
      </c>
      <c r="CB6" s="7" t="s">
        <v>322</v>
      </c>
      <c r="CC6" s="7" t="s">
        <v>323</v>
      </c>
      <c r="CD6" s="7" t="s">
        <v>324</v>
      </c>
      <c r="CE6" s="7" t="s">
        <v>325</v>
      </c>
      <c r="CF6" s="7" t="s">
        <v>326</v>
      </c>
      <c r="CG6" s="7" t="s">
        <v>327</v>
      </c>
    </row>
    <row r="7" spans="1:85">
      <c r="A7" s="3" t="s">
        <v>153</v>
      </c>
      <c r="B7" s="4" t="s">
        <v>0</v>
      </c>
      <c r="C7" s="5">
        <v>239157</v>
      </c>
      <c r="D7" s="5">
        <v>32735.994543000001</v>
      </c>
      <c r="E7" s="5">
        <v>74766.772790000003</v>
      </c>
      <c r="F7" s="5">
        <v>49305.367221</v>
      </c>
      <c r="G7" s="5">
        <v>38976.962786999997</v>
      </c>
      <c r="H7" s="5">
        <v>24252.685124</v>
      </c>
      <c r="I7" s="5">
        <v>19119.217535</v>
      </c>
      <c r="J7" s="5">
        <v>111451.60394</v>
      </c>
      <c r="K7" s="5">
        <v>16807.231100000001</v>
      </c>
      <c r="L7" s="5">
        <v>34673.857306999998</v>
      </c>
      <c r="M7" s="5">
        <v>25151.426506</v>
      </c>
      <c r="N7" s="5">
        <v>18189.907490000001</v>
      </c>
      <c r="O7" s="5">
        <v>10544.035822</v>
      </c>
      <c r="P7" s="5">
        <v>5637.5915370000002</v>
      </c>
      <c r="Q7" s="5">
        <v>447.55417699999998</v>
      </c>
      <c r="R7" s="5">
        <v>25243.882056999999</v>
      </c>
      <c r="S7" s="5">
        <v>74404.717409000004</v>
      </c>
      <c r="T7" s="5">
        <v>11803.004473999999</v>
      </c>
      <c r="U7" s="5">
        <v>127705.39606</v>
      </c>
      <c r="V7" s="5">
        <v>15928.763441999999</v>
      </c>
      <c r="W7" s="5">
        <v>40092.915482999997</v>
      </c>
      <c r="X7" s="5">
        <v>24153.940715000001</v>
      </c>
      <c r="Y7" s="5">
        <v>20787.055295999999</v>
      </c>
      <c r="Z7" s="5">
        <v>13708.649302</v>
      </c>
      <c r="AA7" s="5">
        <v>11399.863141</v>
      </c>
      <c r="AB7" s="5">
        <v>1634.20868</v>
      </c>
      <c r="AC7" s="5">
        <v>25881.782096999999</v>
      </c>
      <c r="AD7" s="5">
        <v>81138.823151999997</v>
      </c>
      <c r="AE7" s="5">
        <v>20684.790810999999</v>
      </c>
      <c r="AF7" s="5">
        <v>206451.005446</v>
      </c>
      <c r="AG7" s="5">
        <v>225.866131</v>
      </c>
      <c r="AH7" s="5">
        <v>6508.4782649999997</v>
      </c>
      <c r="AI7" s="5">
        <v>29857.183045999998</v>
      </c>
      <c r="AJ7" s="5">
        <v>32722.261227999999</v>
      </c>
      <c r="AK7" s="5">
        <v>32367.613579000001</v>
      </c>
      <c r="AL7" s="5">
        <v>16306.329748</v>
      </c>
      <c r="AM7" s="5">
        <v>37451.227466999997</v>
      </c>
      <c r="AN7" s="5">
        <v>51012.045982000003</v>
      </c>
      <c r="AO7" s="5">
        <v>94658.372833999994</v>
      </c>
      <c r="AP7" s="5">
        <v>163.92286999999999</v>
      </c>
      <c r="AQ7" s="5">
        <v>4573.7735430000002</v>
      </c>
      <c r="AR7" s="5">
        <v>17083.767795</v>
      </c>
      <c r="AS7" s="5">
        <v>14637.323929</v>
      </c>
      <c r="AT7" s="5">
        <v>9573.1462649999994</v>
      </c>
      <c r="AU7" s="5">
        <v>13560.505472000001</v>
      </c>
      <c r="AV7" s="5">
        <v>14671.070379000001</v>
      </c>
      <c r="AW7" s="5">
        <v>20394.862582000002</v>
      </c>
      <c r="AX7" s="5">
        <v>111792.632612</v>
      </c>
      <c r="AY7" s="5">
        <v>61.943261</v>
      </c>
      <c r="AZ7" s="5">
        <v>1934.7047219999999</v>
      </c>
      <c r="BA7" s="5">
        <v>12773.415251</v>
      </c>
      <c r="BB7" s="5">
        <v>18084.937299000001</v>
      </c>
      <c r="BC7" s="5">
        <v>22794.467315000002</v>
      </c>
      <c r="BD7" s="5">
        <v>2745.8242759999998</v>
      </c>
      <c r="BE7" s="5">
        <v>22780.157088</v>
      </c>
      <c r="BF7" s="5">
        <v>30617.183400999998</v>
      </c>
      <c r="BG7" s="5">
        <v>51268.457405000001</v>
      </c>
      <c r="BH7" s="5">
        <v>0</v>
      </c>
      <c r="BI7" s="5">
        <v>238.896872</v>
      </c>
      <c r="BJ7" s="5">
        <v>1692.8618710000001</v>
      </c>
      <c r="BK7" s="5">
        <v>4093.886884</v>
      </c>
      <c r="BL7" s="5">
        <v>6994.9654799999998</v>
      </c>
      <c r="BM7" s="5">
        <v>3445.5010889999999</v>
      </c>
      <c r="BN7" s="5">
        <v>0</v>
      </c>
      <c r="BO7" s="5">
        <v>34802.345207999999</v>
      </c>
      <c r="BP7" s="5">
        <v>99331.605565999998</v>
      </c>
      <c r="BQ7" s="5">
        <v>153.756269</v>
      </c>
      <c r="BR7" s="5">
        <v>4961.7357080000002</v>
      </c>
      <c r="BS7" s="5">
        <v>23416.437789</v>
      </c>
      <c r="BT7" s="5">
        <v>25498.443189000001</v>
      </c>
      <c r="BU7" s="5">
        <v>22143.578313000002</v>
      </c>
      <c r="BV7" s="5">
        <v>11458.354793</v>
      </c>
      <c r="BW7" s="5">
        <v>364.82314300000002</v>
      </c>
      <c r="BX7" s="5">
        <v>11334.476361000001</v>
      </c>
      <c r="BY7" s="5">
        <v>55850.942475000003</v>
      </c>
      <c r="BZ7" s="5">
        <v>72.109863000000004</v>
      </c>
      <c r="CA7" s="5">
        <v>1307.8456839999999</v>
      </c>
      <c r="CB7" s="5">
        <v>4747.8833860000004</v>
      </c>
      <c r="CC7" s="5">
        <v>3129.9311539999999</v>
      </c>
      <c r="CD7" s="5">
        <v>3229.069786</v>
      </c>
      <c r="CE7" s="5">
        <v>1402.473866</v>
      </c>
      <c r="CF7" s="5">
        <v>37086.404323000002</v>
      </c>
      <c r="CG7" s="5">
        <v>4875.2244129999999</v>
      </c>
    </row>
    <row r="8" spans="1:85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1:85">
      <c r="A9" s="26" t="s">
        <v>360</v>
      </c>
      <c r="B9" s="23">
        <f>AF7</f>
        <v>206451.005446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>
      <c r="A10" s="26" t="s">
        <v>354</v>
      </c>
      <c r="B10" s="23">
        <f>AD7+AE7+S7+T7</f>
        <v>188031.33584599997</v>
      </c>
    </row>
    <row r="11" spans="1:85">
      <c r="E11" s="26"/>
      <c r="F11" s="26"/>
      <c r="G11" s="26"/>
      <c r="H11" s="26"/>
      <c r="I11" s="26"/>
      <c r="J11" s="26"/>
    </row>
    <row r="12" spans="1:85" s="23" customFormat="1" ht="28.5" customHeight="1">
      <c r="A12"/>
      <c r="B12"/>
      <c r="C12"/>
      <c r="D12"/>
      <c r="E12"/>
      <c r="F12"/>
      <c r="G12"/>
    </row>
    <row r="13" spans="1:85">
      <c r="A13" s="53" t="s">
        <v>117</v>
      </c>
      <c r="B13" s="53"/>
      <c r="D13" s="56" t="s">
        <v>328</v>
      </c>
      <c r="E13" s="31" t="s">
        <v>331</v>
      </c>
      <c r="F13" s="32">
        <f>(AD7+AE7-AB7-AA7-Z7-Y7-X7)/B10*61</f>
        <v>9.7778048445860222</v>
      </c>
    </row>
    <row r="14" spans="1:85">
      <c r="A14" s="10" t="s">
        <v>328</v>
      </c>
      <c r="B14" s="27">
        <f>(AD7+AE7)/B10*61</f>
        <v>33.033007098508747</v>
      </c>
      <c r="D14" s="57"/>
      <c r="E14" s="31" t="s">
        <v>332</v>
      </c>
      <c r="F14" s="32">
        <f>X7/B10*61</f>
        <v>7.8358768073728164</v>
      </c>
    </row>
    <row r="15" spans="1:85">
      <c r="A15" s="10" t="s">
        <v>329</v>
      </c>
      <c r="B15" s="27">
        <f>(S7+T7)/B10*61</f>
        <v>27.96699290149126</v>
      </c>
      <c r="D15" s="57"/>
      <c r="E15" s="31" t="s">
        <v>333</v>
      </c>
      <c r="F15" s="32">
        <f>Y7/B10*61</f>
        <v>6.7436120014299981</v>
      </c>
    </row>
    <row r="16" spans="1:85">
      <c r="D16" s="57"/>
      <c r="E16" s="31" t="s">
        <v>334</v>
      </c>
      <c r="F16" s="32">
        <f>Z7/B10*61</f>
        <v>4.4472779159899227</v>
      </c>
    </row>
    <row r="17" spans="1:26">
      <c r="A17" s="63" t="s">
        <v>330</v>
      </c>
      <c r="B17" s="63"/>
      <c r="D17" s="57"/>
      <c r="E17" s="31" t="s">
        <v>335</v>
      </c>
      <c r="F17" s="32">
        <f>AA7/B10*61</f>
        <v>3.6982753351842081</v>
      </c>
    </row>
    <row r="18" spans="1:26">
      <c r="A18" s="12" t="s">
        <v>331</v>
      </c>
      <c r="B18" s="28">
        <f>F13+F19</f>
        <v>18.289522214513156</v>
      </c>
      <c r="D18" s="58"/>
      <c r="E18" s="33" t="s">
        <v>336</v>
      </c>
      <c r="F18" s="34">
        <f>AB7/B10*61</f>
        <v>0.53016019394578295</v>
      </c>
    </row>
    <row r="19" spans="1:26">
      <c r="A19" s="12" t="s">
        <v>332</v>
      </c>
      <c r="B19" s="28">
        <f>F14+F20</f>
        <v>15.995351981886067</v>
      </c>
      <c r="D19" s="56" t="s">
        <v>329</v>
      </c>
      <c r="E19" s="31" t="s">
        <v>331</v>
      </c>
      <c r="F19" s="32">
        <f>(S7+T7-Q7-P7-O7-N7-M7)/B10*61</f>
        <v>8.5117173699271316</v>
      </c>
      <c r="Z19" s="23"/>
    </row>
    <row r="20" spans="1:26">
      <c r="A20" s="12" t="s">
        <v>333</v>
      </c>
      <c r="B20" s="28">
        <f>F15+F21</f>
        <v>12.644672863959656</v>
      </c>
      <c r="D20" s="57"/>
      <c r="E20" s="31" t="s">
        <v>332</v>
      </c>
      <c r="F20" s="32">
        <f>M7/B10*61</f>
        <v>8.1594751745132506</v>
      </c>
    </row>
    <row r="21" spans="1:26">
      <c r="A21" s="12" t="s">
        <v>334</v>
      </c>
      <c r="B21" s="28">
        <f>F16+F22</f>
        <v>7.8679108772362198</v>
      </c>
      <c r="D21" s="57"/>
      <c r="E21" s="31" t="s">
        <v>333</v>
      </c>
      <c r="F21" s="32">
        <f>N7/B10*61</f>
        <v>5.9010608625296568</v>
      </c>
    </row>
    <row r="22" spans="1:26">
      <c r="A22" s="12" t="s">
        <v>335</v>
      </c>
      <c r="B22" s="28">
        <f>F23+F17</f>
        <v>5.5271890224147917</v>
      </c>
      <c r="D22" s="57"/>
      <c r="E22" s="31" t="s">
        <v>334</v>
      </c>
      <c r="F22" s="32">
        <f>O7/B10*61</f>
        <v>3.4206329612462976</v>
      </c>
      <c r="M22" s="23"/>
    </row>
    <row r="23" spans="1:26">
      <c r="A23" s="12" t="s">
        <v>336</v>
      </c>
      <c r="B23" s="28">
        <f>F24+F18</f>
        <v>0.67535303999012375</v>
      </c>
      <c r="D23" s="57"/>
      <c r="E23" s="31" t="s">
        <v>335</v>
      </c>
      <c r="F23" s="32">
        <f>P7/B10*61</f>
        <v>1.8289136872305836</v>
      </c>
    </row>
    <row r="24" spans="1:26">
      <c r="D24" s="58"/>
      <c r="E24" s="33" t="s">
        <v>336</v>
      </c>
      <c r="F24" s="34">
        <f>Q7/B10*61</f>
        <v>0.14519284604434074</v>
      </c>
    </row>
    <row r="25" spans="1:26">
      <c r="A25" s="64" t="s">
        <v>337</v>
      </c>
      <c r="B25" s="64"/>
    </row>
    <row r="26" spans="1:26" ht="25.5">
      <c r="A26" s="14" t="s">
        <v>338</v>
      </c>
      <c r="B26" s="29">
        <f>AG7/AF7*61</f>
        <v>6.6736579757678993E-2</v>
      </c>
      <c r="D26" s="46" t="s">
        <v>358</v>
      </c>
      <c r="E26" s="15" t="s">
        <v>338</v>
      </c>
      <c r="F26" s="35">
        <f>AY7/B9*61</f>
        <v>1.830235175090163E-2</v>
      </c>
    </row>
    <row r="27" spans="1:26" ht="51">
      <c r="A27" s="15" t="s">
        <v>339</v>
      </c>
      <c r="B27" s="29">
        <f>AH7/AF7*61</f>
        <v>1.9230575957104996</v>
      </c>
      <c r="D27" s="47"/>
      <c r="E27" s="15" t="s">
        <v>339</v>
      </c>
      <c r="F27" s="35">
        <f>AZ7/B9*61</f>
        <v>0.57164646782439088</v>
      </c>
    </row>
    <row r="28" spans="1:26" ht="51">
      <c r="A28" s="15" t="s">
        <v>340</v>
      </c>
      <c r="B28" s="29">
        <f>AI7/AF7*61</f>
        <v>8.8218905103970631</v>
      </c>
      <c r="D28" s="47"/>
      <c r="E28" s="15" t="s">
        <v>340</v>
      </c>
      <c r="F28" s="35">
        <f>BA7/B9*61</f>
        <v>3.7741561424112535</v>
      </c>
    </row>
    <row r="29" spans="1:26" ht="25.5">
      <c r="A29" s="15" t="s">
        <v>341</v>
      </c>
      <c r="B29" s="29">
        <f>AJ7/AF7*61</f>
        <v>9.6684340703300453</v>
      </c>
      <c r="D29" s="47"/>
      <c r="E29" s="15" t="s">
        <v>341</v>
      </c>
      <c r="F29" s="35">
        <f>BB7/B9*61</f>
        <v>5.3435495402687767</v>
      </c>
    </row>
    <row r="30" spans="1:26">
      <c r="A30" s="14" t="s">
        <v>342</v>
      </c>
      <c r="B30" s="29">
        <f>AK7/AF7*61</f>
        <v>9.5636464644655703</v>
      </c>
      <c r="C30" s="23"/>
      <c r="D30" s="47"/>
      <c r="E30" s="15" t="s">
        <v>342</v>
      </c>
      <c r="F30" s="35">
        <f>BC7/B9*61</f>
        <v>6.7350725815607326</v>
      </c>
    </row>
    <row r="31" spans="1:26">
      <c r="A31" s="14" t="s">
        <v>343</v>
      </c>
      <c r="B31" s="29">
        <f>AL7/AF7*61</f>
        <v>4.8180250441462418</v>
      </c>
      <c r="D31" s="47"/>
      <c r="E31" s="15" t="s">
        <v>343</v>
      </c>
      <c r="F31" s="35">
        <f>BD7/B9*61</f>
        <v>0.81130765371743663</v>
      </c>
    </row>
    <row r="32" spans="1:26">
      <c r="A32" s="14" t="s">
        <v>344</v>
      </c>
      <c r="B32" s="29">
        <f>AM7/AF7*61</f>
        <v>11.065699925034018</v>
      </c>
      <c r="D32" s="47"/>
      <c r="E32" s="15" t="s">
        <v>344</v>
      </c>
      <c r="F32" s="35">
        <f>BE7/B9*61</f>
        <v>6.7308443442357833</v>
      </c>
    </row>
    <row r="33" spans="1:6">
      <c r="A33" s="14" t="s">
        <v>345</v>
      </c>
      <c r="B33" s="29">
        <f>AN7/AF7*61</f>
        <v>15.072509810158886</v>
      </c>
      <c r="D33" s="48"/>
      <c r="E33" s="15" t="s">
        <v>345</v>
      </c>
      <c r="F33" s="35">
        <f>BF7/B9*61</f>
        <v>9.0464475260185058</v>
      </c>
    </row>
    <row r="34" spans="1:6" ht="25.5">
      <c r="D34" s="46" t="s">
        <v>359</v>
      </c>
      <c r="E34" s="15" t="s">
        <v>338</v>
      </c>
      <c r="F34" s="35">
        <f>AP7/B9*61</f>
        <v>4.8434228006777366E-2</v>
      </c>
    </row>
    <row r="35" spans="1:6" ht="51">
      <c r="D35" s="47"/>
      <c r="E35" s="15" t="s">
        <v>339</v>
      </c>
      <c r="F35" s="35">
        <f>AQ7/B9*61</f>
        <v>1.3514111278861085</v>
      </c>
    </row>
    <row r="36" spans="1:6" ht="51">
      <c r="D36" s="47"/>
      <c r="E36" s="15" t="s">
        <v>340</v>
      </c>
      <c r="F36" s="35">
        <f>AR7/B9*61</f>
        <v>5.0477343679858109</v>
      </c>
    </row>
    <row r="37" spans="1:6" ht="25.5">
      <c r="D37" s="47"/>
      <c r="E37" s="15" t="s">
        <v>341</v>
      </c>
      <c r="F37" s="35">
        <f>AS7/B9*61</f>
        <v>4.3248845300612677</v>
      </c>
    </row>
    <row r="38" spans="1:6">
      <c r="D38" s="47"/>
      <c r="E38" s="15" t="s">
        <v>342</v>
      </c>
      <c r="F38" s="35">
        <f>AT7/B9*61</f>
        <v>2.8285738832003071</v>
      </c>
    </row>
    <row r="39" spans="1:6">
      <c r="D39" s="47"/>
      <c r="E39" s="15" t="s">
        <v>343</v>
      </c>
      <c r="F39" s="35">
        <f>AU7/B9*61</f>
        <v>4.0067173904288049</v>
      </c>
    </row>
    <row r="40" spans="1:6">
      <c r="D40" s="47"/>
      <c r="E40" s="15" t="s">
        <v>344</v>
      </c>
      <c r="F40" s="35">
        <f>AV7/B9*61</f>
        <v>4.3348555807982363</v>
      </c>
    </row>
    <row r="41" spans="1:6">
      <c r="D41" s="48"/>
      <c r="E41" s="15" t="s">
        <v>345</v>
      </c>
      <c r="F41" s="35">
        <f>AW7/B9*61</f>
        <v>6.026062284435846</v>
      </c>
    </row>
  </sheetData>
  <mergeCells count="11">
    <mergeCell ref="D34:D41"/>
    <mergeCell ref="D13:D18"/>
    <mergeCell ref="D19:D24"/>
    <mergeCell ref="D26:D33"/>
    <mergeCell ref="A1:G1"/>
    <mergeCell ref="A2:G2"/>
    <mergeCell ref="A3:G3"/>
    <mergeCell ref="A4:G4"/>
    <mergeCell ref="A13:B13"/>
    <mergeCell ref="A17:B17"/>
    <mergeCell ref="A25:B2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>
      <selection activeCell="H11" sqref="H11"/>
    </sheetView>
  </sheetViews>
  <sheetFormatPr baseColWidth="10" defaultRowHeight="12.75"/>
  <cols>
    <col min="1" max="1" width="20.5703125" bestFit="1" customWidth="1"/>
    <col min="2" max="2" width="20.7109375" customWidth="1"/>
    <col min="3" max="3" width="3" bestFit="1" customWidth="1"/>
    <col min="5" max="5" width="20.5703125" bestFit="1" customWidth="1"/>
    <col min="6" max="6" width="20.85546875" customWidth="1"/>
    <col min="7" max="7" width="3" bestFit="1" customWidth="1"/>
    <col min="9" max="9" width="20" customWidth="1"/>
    <col min="10" max="10" width="7" style="21" bestFit="1" customWidth="1"/>
    <col min="11" max="11" width="2.28515625" customWidth="1"/>
    <col min="12" max="12" width="19.28515625" customWidth="1"/>
    <col min="13" max="13" width="7" style="21" bestFit="1" customWidth="1"/>
  </cols>
  <sheetData>
    <row r="1" spans="1:13" ht="39.75" customHeight="1">
      <c r="A1" s="71" t="s">
        <v>355</v>
      </c>
      <c r="B1" s="72"/>
      <c r="C1" s="72"/>
      <c r="E1" s="71" t="s">
        <v>361</v>
      </c>
      <c r="F1" s="72"/>
      <c r="G1" s="72"/>
      <c r="I1" s="65" t="s">
        <v>362</v>
      </c>
      <c r="J1" s="66"/>
      <c r="L1" s="65" t="s">
        <v>363</v>
      </c>
      <c r="M1" s="66"/>
    </row>
    <row r="2" spans="1:13">
      <c r="I2" s="40"/>
      <c r="J2" s="43"/>
      <c r="L2" s="40"/>
      <c r="M2" s="43"/>
    </row>
    <row r="3" spans="1:13" ht="32.25" customHeight="1">
      <c r="E3" s="67" t="s">
        <v>364</v>
      </c>
      <c r="F3" s="67"/>
      <c r="G3" s="67"/>
      <c r="I3" s="40"/>
      <c r="J3" s="43"/>
      <c r="L3" s="40"/>
      <c r="M3" s="43"/>
    </row>
    <row r="4" spans="1:13">
      <c r="I4" s="40"/>
      <c r="J4" s="43"/>
      <c r="L4" s="40"/>
      <c r="M4" s="43"/>
    </row>
    <row r="5" spans="1:13">
      <c r="E5" s="73" t="s">
        <v>353</v>
      </c>
      <c r="F5" s="73"/>
      <c r="G5" s="73"/>
      <c r="I5" s="40"/>
      <c r="J5" s="43"/>
      <c r="L5" s="40"/>
      <c r="M5" s="43"/>
    </row>
    <row r="6" spans="1:13">
      <c r="I6" s="40"/>
      <c r="J6" s="43"/>
      <c r="L6" s="40"/>
      <c r="M6" s="43"/>
    </row>
    <row r="7" spans="1:13">
      <c r="A7" s="53" t="s">
        <v>117</v>
      </c>
      <c r="B7" s="53"/>
      <c r="E7" s="53" t="s">
        <v>117</v>
      </c>
      <c r="F7" s="53"/>
      <c r="I7" s="40"/>
      <c r="J7" s="43"/>
      <c r="L7" s="40"/>
      <c r="M7" s="43"/>
    </row>
    <row r="8" spans="1:13">
      <c r="A8" s="10" t="s">
        <v>328</v>
      </c>
      <c r="B8" s="27">
        <v>30</v>
      </c>
      <c r="E8" s="10" t="s">
        <v>328</v>
      </c>
      <c r="F8" s="27">
        <v>33</v>
      </c>
      <c r="I8" s="40"/>
      <c r="J8" s="43"/>
      <c r="L8" s="41" t="s">
        <v>375</v>
      </c>
      <c r="M8" s="43">
        <f>F8/B8</f>
        <v>1.1000000000000001</v>
      </c>
    </row>
    <row r="9" spans="1:13">
      <c r="A9" s="10" t="s">
        <v>329</v>
      </c>
      <c r="B9" s="27">
        <v>31</v>
      </c>
      <c r="E9" s="10" t="s">
        <v>329</v>
      </c>
      <c r="F9" s="27">
        <v>28</v>
      </c>
      <c r="I9" s="40" t="s">
        <v>376</v>
      </c>
      <c r="J9" s="43">
        <f t="shared" ref="J8:J17" si="0">B9/F9</f>
        <v>1.1071428571428572</v>
      </c>
      <c r="L9" s="40"/>
      <c r="M9" s="43"/>
    </row>
    <row r="10" spans="1:13">
      <c r="I10" s="40"/>
      <c r="J10" s="43"/>
      <c r="L10" s="40"/>
      <c r="M10" s="43"/>
    </row>
    <row r="11" spans="1:13">
      <c r="A11" s="63" t="s">
        <v>330</v>
      </c>
      <c r="B11" s="63"/>
      <c r="E11" s="63" t="s">
        <v>330</v>
      </c>
      <c r="F11" s="63"/>
      <c r="I11" s="40"/>
      <c r="J11" s="43"/>
      <c r="L11" s="40"/>
      <c r="M11" s="43"/>
    </row>
    <row r="12" spans="1:13">
      <c r="A12" s="12" t="s">
        <v>331</v>
      </c>
      <c r="B12" s="28">
        <v>3</v>
      </c>
      <c r="E12" s="12" t="s">
        <v>331</v>
      </c>
      <c r="F12" s="28">
        <v>18</v>
      </c>
      <c r="I12" s="40"/>
      <c r="J12" s="43"/>
      <c r="L12" s="41" t="s">
        <v>373</v>
      </c>
      <c r="M12" s="43">
        <f>F12/B12</f>
        <v>6</v>
      </c>
    </row>
    <row r="13" spans="1:13">
      <c r="A13" s="12" t="s">
        <v>332</v>
      </c>
      <c r="B13" s="28">
        <v>16</v>
      </c>
      <c r="E13" s="12" t="s">
        <v>332</v>
      </c>
      <c r="F13" s="28">
        <v>16</v>
      </c>
      <c r="I13" s="40"/>
      <c r="J13" s="43"/>
      <c r="L13" s="40"/>
      <c r="M13" s="43"/>
    </row>
    <row r="14" spans="1:13">
      <c r="A14" s="12" t="s">
        <v>333</v>
      </c>
      <c r="B14" s="28">
        <v>26</v>
      </c>
      <c r="E14" s="12" t="s">
        <v>333</v>
      </c>
      <c r="F14" s="28">
        <v>13</v>
      </c>
      <c r="I14" s="41" t="s">
        <v>377</v>
      </c>
      <c r="J14" s="43">
        <f t="shared" si="0"/>
        <v>2</v>
      </c>
      <c r="L14" s="40"/>
      <c r="M14" s="43"/>
    </row>
    <row r="15" spans="1:13">
      <c r="A15" s="12" t="s">
        <v>334</v>
      </c>
      <c r="B15" s="28">
        <v>16</v>
      </c>
      <c r="E15" s="12" t="s">
        <v>334</v>
      </c>
      <c r="F15" s="28">
        <v>8</v>
      </c>
      <c r="I15" s="41" t="s">
        <v>378</v>
      </c>
      <c r="J15" s="43">
        <f t="shared" si="0"/>
        <v>2</v>
      </c>
      <c r="L15" s="40"/>
      <c r="M15" s="43"/>
    </row>
    <row r="16" spans="1:13">
      <c r="A16" s="12" t="s">
        <v>335</v>
      </c>
      <c r="B16" s="28">
        <f>C29+C23</f>
        <v>1</v>
      </c>
      <c r="E16" s="12" t="s">
        <v>335</v>
      </c>
      <c r="F16" s="28">
        <v>6</v>
      </c>
      <c r="I16" s="40"/>
      <c r="J16" s="43"/>
      <c r="L16" s="40" t="s">
        <v>379</v>
      </c>
      <c r="M16" s="43">
        <f t="shared" ref="M13:M17" si="1">F16/B16</f>
        <v>6</v>
      </c>
    </row>
    <row r="17" spans="1:13">
      <c r="A17" s="12" t="s">
        <v>336</v>
      </c>
      <c r="B17" s="28">
        <f>C30+C24</f>
        <v>0</v>
      </c>
      <c r="E17" s="12" t="s">
        <v>336</v>
      </c>
      <c r="F17" s="28">
        <v>1</v>
      </c>
      <c r="I17" s="40"/>
      <c r="J17" s="43"/>
      <c r="L17" s="40" t="s">
        <v>380</v>
      </c>
      <c r="M17" s="43" t="s">
        <v>369</v>
      </c>
    </row>
    <row r="18" spans="1:13">
      <c r="I18" s="40"/>
      <c r="J18" s="43"/>
      <c r="L18" s="40"/>
      <c r="M18" s="43"/>
    </row>
    <row r="19" spans="1:13">
      <c r="A19" s="56" t="s">
        <v>328</v>
      </c>
      <c r="B19" s="31" t="s">
        <v>331</v>
      </c>
      <c r="C19" s="32">
        <v>3</v>
      </c>
      <c r="E19" s="56" t="s">
        <v>328</v>
      </c>
      <c r="F19" s="31" t="s">
        <v>331</v>
      </c>
      <c r="G19" s="32">
        <v>10</v>
      </c>
      <c r="I19" s="40"/>
      <c r="J19" s="43"/>
      <c r="L19" s="41" t="s">
        <v>381</v>
      </c>
      <c r="M19" s="43">
        <f t="shared" ref="M19:M30" si="2">G19/C19</f>
        <v>3.3333333333333335</v>
      </c>
    </row>
    <row r="20" spans="1:13">
      <c r="A20" s="57"/>
      <c r="B20" s="31" t="s">
        <v>332</v>
      </c>
      <c r="C20" s="32">
        <v>8</v>
      </c>
      <c r="E20" s="57"/>
      <c r="F20" s="31" t="s">
        <v>332</v>
      </c>
      <c r="G20" s="32">
        <v>8</v>
      </c>
      <c r="I20" s="40"/>
      <c r="J20" s="43"/>
      <c r="L20" s="40"/>
      <c r="M20" s="43"/>
    </row>
    <row r="21" spans="1:13">
      <c r="A21" s="57"/>
      <c r="B21" s="31" t="s">
        <v>333</v>
      </c>
      <c r="C21" s="32">
        <v>15</v>
      </c>
      <c r="E21" s="57"/>
      <c r="F21" s="31" t="s">
        <v>333</v>
      </c>
      <c r="G21" s="32">
        <v>7</v>
      </c>
      <c r="I21" s="40" t="s">
        <v>382</v>
      </c>
      <c r="J21" s="43">
        <f t="shared" ref="J20:J30" si="3">C21/G21</f>
        <v>2.1428571428571428</v>
      </c>
      <c r="L21" s="40"/>
      <c r="M21" s="43"/>
    </row>
    <row r="22" spans="1:13">
      <c r="A22" s="57"/>
      <c r="B22" s="31" t="s">
        <v>334</v>
      </c>
      <c r="C22" s="32">
        <v>4</v>
      </c>
      <c r="E22" s="57"/>
      <c r="F22" s="31" t="s">
        <v>334</v>
      </c>
      <c r="G22" s="32">
        <v>4</v>
      </c>
      <c r="I22" s="40"/>
      <c r="J22" s="43"/>
      <c r="L22" s="40"/>
      <c r="M22" s="43"/>
    </row>
    <row r="23" spans="1:13">
      <c r="A23" s="57"/>
      <c r="B23" s="31" t="s">
        <v>335</v>
      </c>
      <c r="C23" s="32">
        <v>0</v>
      </c>
      <c r="E23" s="57"/>
      <c r="F23" s="31" t="s">
        <v>335</v>
      </c>
      <c r="G23" s="32">
        <v>4</v>
      </c>
      <c r="I23" s="40"/>
      <c r="J23" s="43"/>
      <c r="L23" s="40" t="s">
        <v>383</v>
      </c>
      <c r="M23" s="43" t="s">
        <v>369</v>
      </c>
    </row>
    <row r="24" spans="1:13">
      <c r="A24" s="58"/>
      <c r="B24" s="33" t="s">
        <v>336</v>
      </c>
      <c r="C24" s="34">
        <v>0</v>
      </c>
      <c r="E24" s="58"/>
      <c r="F24" s="33" t="s">
        <v>336</v>
      </c>
      <c r="G24" s="34">
        <v>1</v>
      </c>
      <c r="I24" s="40"/>
      <c r="J24" s="43"/>
      <c r="L24" s="40" t="s">
        <v>384</v>
      </c>
      <c r="M24" s="43" t="s">
        <v>369</v>
      </c>
    </row>
    <row r="25" spans="1:13">
      <c r="A25" s="56" t="s">
        <v>329</v>
      </c>
      <c r="B25" s="31" t="s">
        <v>331</v>
      </c>
      <c r="C25" s="32">
        <v>0</v>
      </c>
      <c r="E25" s="56" t="s">
        <v>329</v>
      </c>
      <c r="F25" s="31" t="s">
        <v>331</v>
      </c>
      <c r="G25" s="32">
        <v>9</v>
      </c>
      <c r="I25" s="40"/>
      <c r="J25" s="43"/>
      <c r="L25" s="41" t="s">
        <v>374</v>
      </c>
      <c r="M25" s="43" t="s">
        <v>369</v>
      </c>
    </row>
    <row r="26" spans="1:13">
      <c r="A26" s="57"/>
      <c r="B26" s="31" t="s">
        <v>332</v>
      </c>
      <c r="C26" s="32">
        <v>5</v>
      </c>
      <c r="E26" s="57"/>
      <c r="F26" s="31" t="s">
        <v>332</v>
      </c>
      <c r="G26" s="32">
        <v>8</v>
      </c>
      <c r="I26" s="40"/>
      <c r="J26" s="43"/>
      <c r="L26" s="40" t="s">
        <v>385</v>
      </c>
      <c r="M26" s="43">
        <f t="shared" si="2"/>
        <v>1.6</v>
      </c>
    </row>
    <row r="27" spans="1:13">
      <c r="A27" s="57"/>
      <c r="B27" s="31" t="s">
        <v>333</v>
      </c>
      <c r="C27" s="32">
        <v>14</v>
      </c>
      <c r="E27" s="57"/>
      <c r="F27" s="31" t="s">
        <v>333</v>
      </c>
      <c r="G27" s="32">
        <v>6</v>
      </c>
      <c r="I27" s="40" t="s">
        <v>386</v>
      </c>
      <c r="J27" s="43">
        <f t="shared" si="3"/>
        <v>2.3333333333333335</v>
      </c>
      <c r="L27" s="40"/>
      <c r="M27" s="43"/>
    </row>
    <row r="28" spans="1:13">
      <c r="A28" s="57"/>
      <c r="B28" s="31" t="s">
        <v>334</v>
      </c>
      <c r="C28" s="32">
        <v>11</v>
      </c>
      <c r="E28" s="57"/>
      <c r="F28" s="31" t="s">
        <v>334</v>
      </c>
      <c r="G28" s="32">
        <v>3</v>
      </c>
      <c r="I28" s="40" t="s">
        <v>387</v>
      </c>
      <c r="J28" s="43">
        <f t="shared" si="3"/>
        <v>3.6666666666666665</v>
      </c>
      <c r="L28" s="40"/>
      <c r="M28" s="43"/>
    </row>
    <row r="29" spans="1:13">
      <c r="A29" s="57"/>
      <c r="B29" s="31" t="s">
        <v>335</v>
      </c>
      <c r="C29" s="32">
        <v>1</v>
      </c>
      <c r="E29" s="57"/>
      <c r="F29" s="31" t="s">
        <v>335</v>
      </c>
      <c r="G29" s="32">
        <v>2</v>
      </c>
      <c r="I29" s="40"/>
      <c r="J29" s="43"/>
      <c r="L29" s="40" t="s">
        <v>388</v>
      </c>
      <c r="M29" s="43">
        <f t="shared" si="2"/>
        <v>2</v>
      </c>
    </row>
    <row r="30" spans="1:13">
      <c r="A30" s="58"/>
      <c r="B30" s="33" t="s">
        <v>336</v>
      </c>
      <c r="C30" s="34">
        <v>0</v>
      </c>
      <c r="E30" s="58"/>
      <c r="F30" s="33" t="s">
        <v>336</v>
      </c>
      <c r="G30" s="34">
        <v>0</v>
      </c>
      <c r="I30" s="40"/>
      <c r="J30" s="43"/>
      <c r="L30" s="40"/>
      <c r="M30" s="43"/>
    </row>
    <row r="31" spans="1:13">
      <c r="I31" s="40"/>
      <c r="J31" s="43"/>
      <c r="L31" s="40"/>
      <c r="M31" s="43"/>
    </row>
    <row r="32" spans="1:13">
      <c r="A32" s="54" t="s">
        <v>356</v>
      </c>
      <c r="B32" s="55"/>
      <c r="C32" s="33">
        <v>48</v>
      </c>
      <c r="I32" s="40"/>
      <c r="J32" s="43"/>
      <c r="L32" s="40"/>
      <c r="M32" s="43"/>
    </row>
    <row r="33" spans="1:13">
      <c r="A33" s="54" t="s">
        <v>357</v>
      </c>
      <c r="B33" s="55"/>
      <c r="C33" s="33">
        <v>53</v>
      </c>
      <c r="I33" s="40"/>
      <c r="J33" s="43"/>
      <c r="L33" s="40"/>
      <c r="M33" s="43"/>
    </row>
    <row r="34" spans="1:13">
      <c r="I34" s="40"/>
      <c r="J34" s="43"/>
      <c r="L34" s="40"/>
      <c r="M34" s="43"/>
    </row>
    <row r="35" spans="1:13">
      <c r="A35" s="64" t="s">
        <v>337</v>
      </c>
      <c r="B35" s="64"/>
      <c r="E35" s="64" t="s">
        <v>337</v>
      </c>
      <c r="F35" s="64"/>
      <c r="I35" s="40"/>
      <c r="J35" s="43"/>
      <c r="L35" s="40"/>
      <c r="M35" s="43"/>
    </row>
    <row r="36" spans="1:13">
      <c r="A36" s="14" t="s">
        <v>338</v>
      </c>
      <c r="B36" s="29">
        <v>1</v>
      </c>
      <c r="E36" s="14" t="s">
        <v>338</v>
      </c>
      <c r="F36" s="29">
        <v>0</v>
      </c>
      <c r="G36" s="23"/>
      <c r="I36" s="40" t="s">
        <v>389</v>
      </c>
      <c r="J36" s="43" t="s">
        <v>369</v>
      </c>
      <c r="L36" s="40"/>
      <c r="M36" s="43"/>
    </row>
    <row r="37" spans="1:13" ht="29.25" customHeight="1">
      <c r="A37" s="15" t="s">
        <v>339</v>
      </c>
      <c r="B37" s="29">
        <v>10</v>
      </c>
      <c r="E37" s="15" t="s">
        <v>339</v>
      </c>
      <c r="F37" s="29">
        <v>2</v>
      </c>
      <c r="I37" s="42" t="s">
        <v>365</v>
      </c>
      <c r="J37" s="43">
        <f>B37/F37</f>
        <v>5</v>
      </c>
      <c r="L37" s="40"/>
      <c r="M37" s="43"/>
    </row>
    <row r="38" spans="1:13" ht="38.25">
      <c r="A38" s="15" t="s">
        <v>340</v>
      </c>
      <c r="B38" s="29">
        <v>34</v>
      </c>
      <c r="E38" s="15" t="s">
        <v>340</v>
      </c>
      <c r="F38" s="29">
        <v>9</v>
      </c>
      <c r="I38" s="42" t="s">
        <v>366</v>
      </c>
      <c r="J38" s="43">
        <f t="shared" ref="J38:J43" si="4">B38/F38</f>
        <v>3.7777777777777777</v>
      </c>
      <c r="L38" s="40"/>
      <c r="M38" s="43"/>
    </row>
    <row r="39" spans="1:13" ht="25.5">
      <c r="A39" s="15" t="s">
        <v>341</v>
      </c>
      <c r="B39" s="29">
        <v>6</v>
      </c>
      <c r="E39" s="15" t="s">
        <v>341</v>
      </c>
      <c r="F39" s="29">
        <v>10</v>
      </c>
      <c r="I39" s="40"/>
      <c r="J39" s="43"/>
      <c r="L39" s="74" t="s">
        <v>341</v>
      </c>
      <c r="M39" s="43">
        <f t="shared" ref="M36:M43" si="5">F39/B39</f>
        <v>1.6666666666666667</v>
      </c>
    </row>
    <row r="40" spans="1:13">
      <c r="A40" s="14" t="s">
        <v>342</v>
      </c>
      <c r="B40" s="29">
        <v>2</v>
      </c>
      <c r="E40" s="14" t="s">
        <v>342</v>
      </c>
      <c r="F40" s="29">
        <v>10</v>
      </c>
      <c r="I40" s="40"/>
      <c r="J40" s="43"/>
      <c r="L40" s="41" t="s">
        <v>367</v>
      </c>
      <c r="M40" s="43">
        <f>F40/B40</f>
        <v>5</v>
      </c>
    </row>
    <row r="41" spans="1:13">
      <c r="A41" s="14" t="s">
        <v>343</v>
      </c>
      <c r="B41" s="29">
        <v>0</v>
      </c>
      <c r="E41" s="14" t="s">
        <v>343</v>
      </c>
      <c r="F41" s="29">
        <v>5</v>
      </c>
      <c r="I41" s="40"/>
      <c r="J41" s="43"/>
      <c r="L41" s="41" t="s">
        <v>368</v>
      </c>
      <c r="M41" s="43" t="s">
        <v>369</v>
      </c>
    </row>
    <row r="42" spans="1:13">
      <c r="A42" s="14" t="s">
        <v>344</v>
      </c>
      <c r="B42" s="29">
        <v>2</v>
      </c>
      <c r="E42" s="14" t="s">
        <v>344</v>
      </c>
      <c r="F42" s="29">
        <v>11</v>
      </c>
      <c r="I42" s="41"/>
      <c r="J42" s="43"/>
      <c r="L42" s="40" t="s">
        <v>344</v>
      </c>
      <c r="M42" s="43">
        <f t="shared" si="5"/>
        <v>5.5</v>
      </c>
    </row>
    <row r="43" spans="1:13">
      <c r="A43" s="14" t="s">
        <v>345</v>
      </c>
      <c r="B43" s="29">
        <v>6</v>
      </c>
      <c r="E43" s="14" t="s">
        <v>345</v>
      </c>
      <c r="F43" s="29">
        <v>15</v>
      </c>
      <c r="I43" s="40"/>
      <c r="J43" s="43"/>
      <c r="L43" s="40"/>
      <c r="M43" s="43"/>
    </row>
    <row r="44" spans="1:13">
      <c r="I44" s="40"/>
      <c r="J44" s="43"/>
      <c r="L44" s="40"/>
      <c r="M44" s="43"/>
    </row>
    <row r="45" spans="1:13">
      <c r="A45" s="68" t="s">
        <v>358</v>
      </c>
      <c r="B45" s="36" t="s">
        <v>338</v>
      </c>
      <c r="C45" s="30">
        <v>0</v>
      </c>
      <c r="E45" s="68" t="s">
        <v>358</v>
      </c>
      <c r="F45" s="36" t="s">
        <v>338</v>
      </c>
      <c r="G45" s="35">
        <v>0</v>
      </c>
      <c r="I45" s="40"/>
      <c r="J45" s="43"/>
      <c r="L45" s="40"/>
      <c r="M45" s="43"/>
    </row>
    <row r="46" spans="1:13" ht="25.5">
      <c r="A46" s="69"/>
      <c r="B46" s="36" t="s">
        <v>339</v>
      </c>
      <c r="C46" s="30">
        <v>1</v>
      </c>
      <c r="E46" s="69"/>
      <c r="F46" s="36" t="s">
        <v>339</v>
      </c>
      <c r="G46" s="35">
        <v>1</v>
      </c>
      <c r="I46" s="40"/>
      <c r="J46" s="43"/>
      <c r="L46" s="40"/>
      <c r="M46" s="43"/>
    </row>
    <row r="47" spans="1:13" ht="38.25">
      <c r="A47" s="69"/>
      <c r="B47" s="36" t="s">
        <v>340</v>
      </c>
      <c r="C47" s="30">
        <v>21</v>
      </c>
      <c r="E47" s="69"/>
      <c r="F47" s="36" t="s">
        <v>340</v>
      </c>
      <c r="G47" s="35">
        <v>4</v>
      </c>
      <c r="I47" s="41" t="s">
        <v>370</v>
      </c>
      <c r="J47" s="43">
        <f>C47/G47</f>
        <v>5.25</v>
      </c>
      <c r="L47" s="40"/>
      <c r="M47" s="43"/>
    </row>
    <row r="48" spans="1:13" ht="25.5">
      <c r="A48" s="69"/>
      <c r="B48" s="36" t="s">
        <v>341</v>
      </c>
      <c r="C48" s="30">
        <v>3</v>
      </c>
      <c r="E48" s="69"/>
      <c r="F48" s="36" t="s">
        <v>341</v>
      </c>
      <c r="G48" s="35">
        <v>5</v>
      </c>
      <c r="I48" s="40"/>
      <c r="J48" s="43"/>
      <c r="L48" s="40" t="s">
        <v>390</v>
      </c>
      <c r="M48" s="43">
        <f t="shared" ref="M45:M60" si="6">G48/C48</f>
        <v>1.6666666666666667</v>
      </c>
    </row>
    <row r="49" spans="1:13">
      <c r="A49" s="69"/>
      <c r="B49" s="36" t="s">
        <v>342</v>
      </c>
      <c r="C49" s="30">
        <v>1</v>
      </c>
      <c r="E49" s="69"/>
      <c r="F49" s="36" t="s">
        <v>342</v>
      </c>
      <c r="G49" s="35">
        <v>7</v>
      </c>
      <c r="I49" s="40"/>
      <c r="J49" s="43"/>
      <c r="L49" s="41" t="s">
        <v>371</v>
      </c>
      <c r="M49" s="43">
        <f>G49/C49</f>
        <v>7</v>
      </c>
    </row>
    <row r="50" spans="1:13">
      <c r="A50" s="69"/>
      <c r="B50" s="36" t="s">
        <v>343</v>
      </c>
      <c r="C50" s="30">
        <v>0</v>
      </c>
      <c r="E50" s="69"/>
      <c r="F50" s="36" t="s">
        <v>343</v>
      </c>
      <c r="G50" s="35">
        <v>1</v>
      </c>
      <c r="I50" s="40"/>
      <c r="J50" s="43"/>
      <c r="L50" s="40" t="s">
        <v>391</v>
      </c>
      <c r="M50" s="43" t="s">
        <v>369</v>
      </c>
    </row>
    <row r="51" spans="1:13">
      <c r="A51" s="69"/>
      <c r="B51" s="36" t="s">
        <v>344</v>
      </c>
      <c r="C51" s="30">
        <v>0</v>
      </c>
      <c r="E51" s="69"/>
      <c r="F51" s="36" t="s">
        <v>344</v>
      </c>
      <c r="G51" s="35">
        <v>7</v>
      </c>
      <c r="I51" s="40"/>
      <c r="J51" s="43"/>
      <c r="L51" s="40" t="s">
        <v>392</v>
      </c>
      <c r="M51" s="43" t="s">
        <v>369</v>
      </c>
    </row>
    <row r="52" spans="1:13">
      <c r="A52" s="70"/>
      <c r="B52" s="36" t="s">
        <v>345</v>
      </c>
      <c r="C52" s="30">
        <v>4</v>
      </c>
      <c r="E52" s="70"/>
      <c r="F52" s="36" t="s">
        <v>345</v>
      </c>
      <c r="G52" s="35">
        <v>9</v>
      </c>
      <c r="I52" s="40"/>
      <c r="J52" s="43"/>
      <c r="L52" s="40"/>
      <c r="M52" s="43"/>
    </row>
    <row r="53" spans="1:13">
      <c r="A53" s="68" t="s">
        <v>359</v>
      </c>
      <c r="B53" s="36" t="s">
        <v>338</v>
      </c>
      <c r="C53" s="30">
        <v>1</v>
      </c>
      <c r="E53" s="68" t="s">
        <v>359</v>
      </c>
      <c r="F53" s="36" t="s">
        <v>338</v>
      </c>
      <c r="G53" s="35">
        <v>0</v>
      </c>
      <c r="I53" s="40" t="s">
        <v>393</v>
      </c>
      <c r="J53" s="43" t="s">
        <v>369</v>
      </c>
      <c r="L53" s="40"/>
      <c r="M53" s="43"/>
    </row>
    <row r="54" spans="1:13" ht="25.5">
      <c r="A54" s="69"/>
      <c r="B54" s="36" t="s">
        <v>339</v>
      </c>
      <c r="C54" s="30">
        <v>9</v>
      </c>
      <c r="E54" s="69"/>
      <c r="F54" s="36" t="s">
        <v>339</v>
      </c>
      <c r="G54" s="35">
        <v>1</v>
      </c>
      <c r="I54" s="41" t="s">
        <v>372</v>
      </c>
      <c r="J54" s="43">
        <f t="shared" ref="J45:J60" si="7">C54/G54</f>
        <v>9</v>
      </c>
      <c r="L54" s="40"/>
      <c r="M54" s="43"/>
    </row>
    <row r="55" spans="1:13" ht="38.25">
      <c r="A55" s="69"/>
      <c r="B55" s="36" t="s">
        <v>340</v>
      </c>
      <c r="C55" s="30">
        <v>13</v>
      </c>
      <c r="E55" s="69"/>
      <c r="F55" s="36" t="s">
        <v>340</v>
      </c>
      <c r="G55" s="35">
        <v>5</v>
      </c>
      <c r="I55" s="40" t="s">
        <v>394</v>
      </c>
      <c r="J55" s="43">
        <f t="shared" si="7"/>
        <v>2.6</v>
      </c>
      <c r="L55" s="40"/>
      <c r="M55" s="43"/>
    </row>
    <row r="56" spans="1:13" ht="25.5">
      <c r="A56" s="69"/>
      <c r="B56" s="36" t="s">
        <v>341</v>
      </c>
      <c r="C56" s="30">
        <v>3</v>
      </c>
      <c r="E56" s="69"/>
      <c r="F56" s="36" t="s">
        <v>341</v>
      </c>
      <c r="G56" s="35">
        <v>4</v>
      </c>
      <c r="I56" s="40"/>
      <c r="J56" s="43"/>
      <c r="L56" s="40" t="s">
        <v>395</v>
      </c>
      <c r="M56" s="43">
        <f t="shared" si="6"/>
        <v>1.3333333333333333</v>
      </c>
    </row>
    <row r="57" spans="1:13">
      <c r="A57" s="69"/>
      <c r="B57" s="36" t="s">
        <v>342</v>
      </c>
      <c r="C57" s="30">
        <v>1</v>
      </c>
      <c r="E57" s="69"/>
      <c r="F57" s="36" t="s">
        <v>342</v>
      </c>
      <c r="G57" s="35">
        <v>3</v>
      </c>
      <c r="I57" s="40"/>
      <c r="J57" s="43"/>
      <c r="L57" s="40" t="s">
        <v>396</v>
      </c>
      <c r="M57" s="43">
        <f t="shared" si="6"/>
        <v>3</v>
      </c>
    </row>
    <row r="58" spans="1:13">
      <c r="A58" s="69"/>
      <c r="B58" s="36" t="s">
        <v>343</v>
      </c>
      <c r="C58" s="30">
        <v>0</v>
      </c>
      <c r="E58" s="69"/>
      <c r="F58" s="36" t="s">
        <v>343</v>
      </c>
      <c r="G58" s="35">
        <v>4</v>
      </c>
      <c r="I58" s="40"/>
      <c r="J58" s="43"/>
      <c r="L58" s="40" t="s">
        <v>397</v>
      </c>
      <c r="M58" s="43" t="s">
        <v>369</v>
      </c>
    </row>
    <row r="59" spans="1:13">
      <c r="A59" s="69"/>
      <c r="B59" s="36" t="s">
        <v>344</v>
      </c>
      <c r="C59" s="30">
        <v>2</v>
      </c>
      <c r="E59" s="69"/>
      <c r="F59" s="36" t="s">
        <v>344</v>
      </c>
      <c r="G59" s="35">
        <v>4</v>
      </c>
      <c r="I59" s="40"/>
      <c r="J59" s="43"/>
      <c r="L59" s="40" t="s">
        <v>398</v>
      </c>
      <c r="M59" s="43">
        <f t="shared" si="6"/>
        <v>2</v>
      </c>
    </row>
    <row r="60" spans="1:13">
      <c r="A60" s="70"/>
      <c r="B60" s="36" t="s">
        <v>345</v>
      </c>
      <c r="C60" s="30">
        <v>2</v>
      </c>
      <c r="E60" s="70"/>
      <c r="F60" s="36" t="s">
        <v>345</v>
      </c>
      <c r="G60" s="35">
        <v>6</v>
      </c>
      <c r="I60" s="44"/>
      <c r="J60" s="45"/>
      <c r="L60" s="44"/>
      <c r="M60" s="45"/>
    </row>
  </sheetData>
  <mergeCells count="22">
    <mergeCell ref="A32:B32"/>
    <mergeCell ref="E35:F35"/>
    <mergeCell ref="E45:E52"/>
    <mergeCell ref="E53:E60"/>
    <mergeCell ref="A1:C1"/>
    <mergeCell ref="E1:G1"/>
    <mergeCell ref="E5:G5"/>
    <mergeCell ref="A33:B33"/>
    <mergeCell ref="A35:B35"/>
    <mergeCell ref="A45:A52"/>
    <mergeCell ref="A53:A60"/>
    <mergeCell ref="E7:F7"/>
    <mergeCell ref="E19:E24"/>
    <mergeCell ref="E11:F11"/>
    <mergeCell ref="E25:E30"/>
    <mergeCell ref="A7:B7"/>
    <mergeCell ref="A19:A24"/>
    <mergeCell ref="A11:B11"/>
    <mergeCell ref="A25:A30"/>
    <mergeCell ref="I1:J1"/>
    <mergeCell ref="L1:M1"/>
    <mergeCell ref="E3:G3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BORDEAUX 2014</vt:lpstr>
      <vt:lpstr>POP BDX 2010</vt:lpstr>
      <vt:lpstr>RESSEMBLANCE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HAZARTBR</dc:creator>
  <cp:lastModifiedBy>Jade Lemaire</cp:lastModifiedBy>
  <dcterms:created xsi:type="dcterms:W3CDTF">2014-03-31T12:39:37Z</dcterms:created>
  <dcterms:modified xsi:type="dcterms:W3CDTF">2014-05-21T20:53:26Z</dcterms:modified>
</cp:coreProperties>
</file>